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CA Summ Mtrx" sheetId="1" r:id="rId1"/>
    <sheet name="Benefit Cost Summary" sheetId="2" r:id="rId2"/>
    <sheet name="PV of Trucking Time Benefit" sheetId="3" r:id="rId3"/>
    <sheet name="PV of Increased Barge Time Cost" sheetId="4" r:id="rId4"/>
    <sheet name="PV of Trucking Fuel Benefit" sheetId="5" r:id="rId5"/>
    <sheet name="PV of Increased Barge Fuel Cost" sheetId="6" r:id="rId6"/>
    <sheet name="PV of Trckng Crbn Reduc Ems Bnf" sheetId="7" r:id="rId7"/>
    <sheet name="PV of Incr Brg Crbn Em Cst" sheetId="8" r:id="rId8"/>
    <sheet name="PV of Trucking Rdcd Coll Benefi" sheetId="9" r:id="rId9"/>
    <sheet name="PV of Incr Barge Collision Cost" sheetId="10" r:id="rId10"/>
    <sheet name="PV of O&amp;M Costs" sheetId="11" r:id="rId11"/>
    <sheet name="PV of RCV" sheetId="12" r:id="rId12"/>
  </sheets>
  <definedNames>
    <definedName name="_xlnm.Print_Area" localSheetId="9">'PV of Incr Barge Collision Cost'!$A$1:$Q$42</definedName>
    <definedName name="_xlnm.Print_Area" localSheetId="7">'PV of Incr Brg Crbn Em Cst'!$A$1:$W$46</definedName>
    <definedName name="_xlnm.Print_Area" localSheetId="5">'PV of Increased Barge Fuel Cost'!$A$1:$S$47</definedName>
    <definedName name="_xlnm.Print_Area" localSheetId="10">'PV of O&amp;M Costs'!$A$1:$J$42</definedName>
    <definedName name="_xlnm.Print_Area" localSheetId="11">'PV of RCV'!$A$1:$K$45</definedName>
    <definedName name="_xlnm.Print_Area" localSheetId="6">'PV of Trckng Crbn Reduc Ems Bnf'!$A$1:$R$45</definedName>
    <definedName name="_xlnm.Print_Area" localSheetId="4">'PV of Trucking Fuel Benefit'!$A$1:$N$41</definedName>
    <definedName name="_xlnm.Print_Area" localSheetId="8">'PV of Trucking Rdcd Coll Benefi'!$A$1:$N$39</definedName>
    <definedName name="_xlnm.Print_Area" localSheetId="2">'PV of Trucking Time Benefit'!$A$1:$P$44</definedName>
  </definedNames>
  <calcPr fullCalcOnLoad="1"/>
</workbook>
</file>

<file path=xl/sharedStrings.xml><?xml version="1.0" encoding="utf-8"?>
<sst xmlns="http://schemas.openxmlformats.org/spreadsheetml/2006/main" count="267" uniqueCount="173">
  <si>
    <t>Morgan City Harbor and Terminal District</t>
  </si>
  <si>
    <t>Present Value of Remaining Capital Value</t>
  </si>
  <si>
    <t>Project Life</t>
  </si>
  <si>
    <t>Calendar Year</t>
  </si>
  <si>
    <t>Remaining Capital Value in 20 Years</t>
  </si>
  <si>
    <t>NPV of Remaining Capital Value 7.0%</t>
  </si>
  <si>
    <t>NPV of Remaining Capital Value 3.0%</t>
  </si>
  <si>
    <t>ASSUMPTIONS:</t>
  </si>
  <si>
    <t>-We did not adjust the dollar amounts for inflation over time</t>
  </si>
  <si>
    <t>-We used a 7.0% and a 3.0% Discount Rate</t>
  </si>
  <si>
    <t>-There may be immaterial Mathematical Inconsistencies due to rounding of fractional amounts</t>
  </si>
  <si>
    <t>Present Value of Maintenance and Operations Cost</t>
  </si>
  <si>
    <t>Year</t>
  </si>
  <si>
    <t>Annual Maintenance Cost</t>
  </si>
  <si>
    <t>-We Did not Adjust the Dollar Amounts for Inflation over time</t>
  </si>
  <si>
    <t>-We Used a 7.0% and a 3.0% Discount Rate</t>
  </si>
  <si>
    <t>-There may be Immaterial Mathematical Inconsistencies due to rounding of fractional amounts</t>
  </si>
  <si>
    <r>
      <t>NPV of Annual Maintenance Cost  3.0% (F/(1.03)</t>
    </r>
    <r>
      <rPr>
        <sz val="9"/>
        <color indexed="8"/>
        <rFont val="Calibri"/>
        <family val="2"/>
      </rPr>
      <t>ˆ</t>
    </r>
  </si>
  <si>
    <r>
      <t>NPV of Annual Maintenance Cost 7.0% (F/(1.07)</t>
    </r>
    <r>
      <rPr>
        <sz val="9"/>
        <color indexed="8"/>
        <rFont val="Calibri"/>
        <family val="2"/>
      </rPr>
      <t>ˆ</t>
    </r>
  </si>
  <si>
    <t>Present Value of Increased Barge Collision Cost</t>
  </si>
  <si>
    <t>Number of TEU (Loads) Per year</t>
  </si>
  <si>
    <t>Annual Number of Barge Trips Per Year</t>
  </si>
  <si>
    <t>Annual Number of Barge Miles Per Year</t>
  </si>
  <si>
    <t>Increased Accidents @ .028 for Every Billion Miles Collisions</t>
  </si>
  <si>
    <t>Annual Cost of Barge Collision Incurred at an $91,112 Avg Cost</t>
  </si>
  <si>
    <t>ASSUMPTIONS</t>
  </si>
  <si>
    <t>-The Value of the Increased Barge Collision Cost was set at $91,121 , the same as the Truck Collision Cost as a result of Non-Availability of Barge Collision Cost Statistics</t>
  </si>
  <si>
    <t>-The Increased Cost of Barge Collision is .028 for Each Billion Ton Miles</t>
  </si>
  <si>
    <t>-As referred to above, the Value of the Costs of Truck Crashes was $91,112</t>
  </si>
  <si>
    <t>-There may be immaterial mathematical inconsistencies due to rounding of fractional amounts</t>
  </si>
  <si>
    <t>Present Value of Trucking Reduced Collision Benefit</t>
  </si>
  <si>
    <t>Annual Truck Miles Saved</t>
  </si>
  <si>
    <t>Reduced Accidents @ .63 per million miles traveled</t>
  </si>
  <si>
    <t>Annual cost of truck collision savings $91,112 Avg. Cost</t>
  </si>
  <si>
    <t xml:space="preserve">NPV of Collision Savings 7.0% </t>
  </si>
  <si>
    <t>NPV of Collision Savings 3.0%</t>
  </si>
  <si>
    <t>-The Value of Collsion Reduction Based Upon 2001-2003 Average Costs of Truck Crashes</t>
  </si>
  <si>
    <t>Source:  Ted Miller, Eduard Zaloshnja, Rebecca Sicer, Revised Cost of Large Truck and Bus Involved Crashes (2006), Adjusted to 2005 Dollars; US DOT Federal Motor Carrier Safety Administration Commercial Motor Vehicle Facts, Nov. 2007</t>
  </si>
  <si>
    <t>-There may be some immaterial mathematical inconsistencies due to rounding of fractional amounts.</t>
  </si>
  <si>
    <t>Benefit Cost Summary</t>
  </si>
  <si>
    <t>Present Value of Trucking Reduced Collision Benefits</t>
  </si>
  <si>
    <t>NPV of 7.0%</t>
  </si>
  <si>
    <t>NPV of 3%</t>
  </si>
  <si>
    <t>Net Present Value of All Benefits</t>
  </si>
  <si>
    <t>Present Value of Construction Costs</t>
  </si>
  <si>
    <t>Less Present Value of Remaining Capital Value</t>
  </si>
  <si>
    <t>Net Present Value of All Costs</t>
  </si>
  <si>
    <t>Net Present Value</t>
  </si>
  <si>
    <t>Present Value of Trucking Time Benefit</t>
  </si>
  <si>
    <t>Annual Number of Trips Saved</t>
  </si>
  <si>
    <t>NPV of Travel Time Savings 3.0%</t>
  </si>
  <si>
    <t xml:space="preserve">NPV of Travel Time Savings 7.0% </t>
  </si>
  <si>
    <t>-We did not adust for load/unload time as the barges will have load/unload time as well</t>
  </si>
  <si>
    <t>Present Value of Increased Barge Time Cost</t>
  </si>
  <si>
    <t>Annual Number of Hours for the Barge Trips</t>
  </si>
  <si>
    <t>-The average barge trip has one deck hand and one captain and takes 56 hours</t>
  </si>
  <si>
    <t>The U.S. Bureau of Labor Statistics includes tugboat captains in its category of captains, mates and pilots</t>
  </si>
  <si>
    <t>Present Value of Trucking Fuel Benefit</t>
  </si>
  <si>
    <t>Gallons of Fuel Saved (Avg. 6 MPG)</t>
  </si>
  <si>
    <t>-6 Miles Per Gallon is the Average MPG of the Trucks</t>
  </si>
  <si>
    <t>Present Value of Increased Barge Fuel Cost</t>
  </si>
  <si>
    <t>Annual Number in Tons of Barge Freight</t>
  </si>
  <si>
    <t>Annual Gallons of Barge Fuel Used</t>
  </si>
  <si>
    <t>Annual Cost of Barge Fuel Used</t>
  </si>
  <si>
    <t>-The Average Tons per TEU is 25</t>
  </si>
  <si>
    <t>-The Average Fuel Consumption for the Barge is 576 Miles Per Ton Per Gallon</t>
  </si>
  <si>
    <t>-The Average Number of Truck Loads (TEU) Per Barge is 80</t>
  </si>
  <si>
    <t xml:space="preserve">NPV of Fuel Savings 7.0% </t>
  </si>
  <si>
    <t>NPV of Fuel Savings 3.0%</t>
  </si>
  <si>
    <t>-96 barges/year X 80 TEUs/barge = 7,680 TEUs/year</t>
  </si>
  <si>
    <t>-7,680 TEUs/year X 25 avg tons/TEU = 192,000 avg tons/year</t>
  </si>
  <si>
    <t>-A Barge Uses 1 Gallon of Fuel to Move 1 Ton of Cargo 576 Miles</t>
  </si>
  <si>
    <t>Present Value of Trucking Carbon Reduction Emissions Benefit</t>
  </si>
  <si>
    <t>Annual Gallons of Fuel Saved (Avg. 6 MPG)</t>
  </si>
  <si>
    <t>Annual Metric Tons of CO2 Saved</t>
  </si>
  <si>
    <t>CO2 Emissions Price Per Metric Ton</t>
  </si>
  <si>
    <t>Annual Dollars Saved Due to Reduced CO2 Emissions Per Metric Ton</t>
  </si>
  <si>
    <t xml:space="preserve">NPV of CO2 Emissions Savings 7.0% </t>
  </si>
  <si>
    <t>NPV of CO2 Emissions Savings 3.0%</t>
  </si>
  <si>
    <t xml:space="preserve">-CO2 Emissions from a Gallon of Diesel = 2,778 Grams X 0.99 X (44/12) = 10,084 Grams = 10.1 kg/Gallon = 22.2 </t>
  </si>
  <si>
    <t>Pounds/Gallon/2205 Pounds Per Ton:  EPA - Office of Transportation; Average Carbon Dioxide</t>
  </si>
  <si>
    <t>Emissions Resulting from Gasoline and Diesel Fuel, 2005</t>
  </si>
  <si>
    <t>page2; http://www.epa.gov/otaq/climate/420f05001.pdf</t>
  </si>
  <si>
    <t>-6 Miles Per Gallon is the average MPG of the Trucks</t>
  </si>
  <si>
    <t>-We used Cost Per Metric Ton for the Cost of Carbon as Shown in the Social Cost</t>
  </si>
  <si>
    <t>of Carbon for Regulatory Impact Analysis Under Executive Order 12866</t>
  </si>
  <si>
    <t>(February 2010)</t>
  </si>
  <si>
    <t>Present Value of Increased Barge Carbon Emission Cost</t>
  </si>
  <si>
    <t>Annual Metric Tons of CO2 Generated</t>
  </si>
  <si>
    <t>Annual Dollars Due to Increased CO2 Emissions Per Metric Ton</t>
  </si>
  <si>
    <t>-CO2 Emissions from a gallon of diesel = 2,778 grams X 0.99 X (44/12) = 10,084 grams = 10.1 kg/Gallon = 22.2</t>
  </si>
  <si>
    <t>Pounds/Gallon/2205 Pounds Per Ton; EPA - Office of Transportation: Average Carbon Dioxide</t>
  </si>
  <si>
    <t>Emissions Resulting from Gasoline and Diesel fuel, 2005.</t>
  </si>
  <si>
    <t>page 2; http://www.epa.gov/otaq/climate/420f05001.pdf</t>
  </si>
  <si>
    <t>-There may be immaterial mathematical inconsistencies due to rounding of fractional amounts.</t>
  </si>
  <si>
    <t>of water vessels.  These professionals command the operations of ships and otheer water vessels and</t>
  </si>
  <si>
    <r>
      <t>NPV of Fuel Used 7.0% (F/(1.07)</t>
    </r>
    <r>
      <rPr>
        <sz val="9"/>
        <color indexed="8"/>
        <rFont val="Calibri"/>
        <family val="2"/>
      </rPr>
      <t>ˆ</t>
    </r>
  </si>
  <si>
    <r>
      <t>NPV of Fuel Used  3.0% (F/(1.03)</t>
    </r>
    <r>
      <rPr>
        <sz val="9"/>
        <color indexed="8"/>
        <rFont val="Calibri"/>
        <family val="2"/>
      </rPr>
      <t>ˆ</t>
    </r>
  </si>
  <si>
    <t>Net Present Value of Time Benefit</t>
  </si>
  <si>
    <t>Net Present Value of Fuel Benefits</t>
  </si>
  <si>
    <t>Present Value of Trucking Carbon Reduction Emmissions Benefit</t>
  </si>
  <si>
    <t>Net Present Value of Carbon Reduction Emission Benefit</t>
  </si>
  <si>
    <t>Net Present Value of Reduced Collision Benefit</t>
  </si>
  <si>
    <t>Present Value of Maintenance and Operation Costs</t>
  </si>
  <si>
    <t>Benefit / Cost Ratio = 5/9</t>
  </si>
  <si>
    <t xml:space="preserve">Net Present Value = 5 - 9 </t>
  </si>
  <si>
    <t>-8 barges travel to MN each month X 12 months = 96 barges/year.  Increase in barges occur after completion of project.</t>
  </si>
  <si>
    <t>-One barge = 80 trucks</t>
  </si>
  <si>
    <t xml:space="preserve">NPV of Annual Maintenance Cost 7.0% </t>
  </si>
  <si>
    <t>NPV of Annual Maintenance Cost  3.0%</t>
  </si>
  <si>
    <t>-The Remaining Capital Value of the Project in 20 years has been set at $9,000,000</t>
  </si>
  <si>
    <t>Non-Discounted Value</t>
  </si>
  <si>
    <t>Net Present Value 7.0%</t>
  </si>
  <si>
    <t>Net Present Value 3.0%</t>
  </si>
  <si>
    <t>Selecetion Criteria</t>
  </si>
  <si>
    <t>Description</t>
  </si>
  <si>
    <t>Inputs</t>
  </si>
  <si>
    <t>State of Good Repair</t>
  </si>
  <si>
    <t>Consistent with regional plans</t>
  </si>
  <si>
    <t>Increased Mobility</t>
  </si>
  <si>
    <t>Time Travel Savings</t>
  </si>
  <si>
    <t>Fuel Cost Savings</t>
  </si>
  <si>
    <t>Reduced Pollution</t>
  </si>
  <si>
    <t>CO2 Cost Savings</t>
  </si>
  <si>
    <t>Safety</t>
  </si>
  <si>
    <t>Reduced Collisions</t>
  </si>
  <si>
    <t>Collision Cost Savings</t>
  </si>
  <si>
    <t>Total Costs 7.0% NPV</t>
  </si>
  <si>
    <t>Total Costs 3.0% NPV</t>
  </si>
  <si>
    <t>Total Benefits</t>
  </si>
  <si>
    <t>Benefit to Cost Ratio 3.0% NPV</t>
  </si>
  <si>
    <t>Benefit to Cost Ratio 7.0% NPV</t>
  </si>
  <si>
    <t>Maintenance, Preservation and Upgrade</t>
  </si>
  <si>
    <t>Quality of Life</t>
  </si>
  <si>
    <t>Annual Number of Hours Saved at 21.82 hours per trip</t>
  </si>
  <si>
    <t>-The Annual Maintenance Cost Per Year will provide funds for maintaining, replacing light systems, electrical boxes/wiring, pipes/valves, and fendering systems.</t>
  </si>
  <si>
    <t>-96 barge trips/year X 1200 miles/trip = 115,200 miles/year</t>
  </si>
  <si>
    <t>2018 BUILD:  Port Dock Expansion and Enhancement - PHASE I (East Dock Extension)</t>
  </si>
  <si>
    <t>-It's a 1300 mile trip by barge to Burnsville, MN one way.  Barges do not return to Morgan City.</t>
  </si>
  <si>
    <t>-A one-way trip from Morgan City, LA to Burnsville, MN is 1300 miles (barge/truck)</t>
  </si>
  <si>
    <t>-The one-way Trip Miles for the Barge is 1300 (This is the same as the Trucks)</t>
  </si>
  <si>
    <t>(1 Ton/ 576 mies x 2000 Tons / Barge Load X 1300 Miles Per Round Trip = 4,513.89 Gallons of Fuel Per Barge Trip)</t>
  </si>
  <si>
    <t>(1 Ton/ 576 mies x 2000 Tons / Barge Load X 1300 Miles Per Trip = 4,513.89 Gallons of Fuel Per Barge Trip)</t>
  </si>
  <si>
    <t>-We used  $3.50 Per Gallon for Fuel</t>
  </si>
  <si>
    <t>-As referred to above, the Value of the Costs of Truck Crashes was $91,112 (in 2005 dollars)</t>
  </si>
  <si>
    <t>Annual Fuel Savings (Cost  $3.50/Gal)</t>
  </si>
  <si>
    <t>-We used $3.50 Per Gallon for Fuel</t>
  </si>
  <si>
    <t>-1,300 miles per trip from Port of Morgan City, LA to Burnsville, MN (truck/barge the same)</t>
  </si>
  <si>
    <t>-56 hours/barge trip</t>
  </si>
  <si>
    <t>Annual Payroll Dollars Incurred for Travel Time at $48.67 Per Hour</t>
  </si>
  <si>
    <t>-It takes 1300 miles for one-way trip  for barge/truck</t>
  </si>
  <si>
    <t>(Deck Hand $13.73/hour + Captain $34.94/hour = $48.67/hour average)</t>
  </si>
  <si>
    <t>may supervise workes.  Their average median salary as of July 2018 was $34.94/hour, or $101,021/year</t>
  </si>
  <si>
    <t>-Tug Captain's median salary is $34.94/hour; and, Deck Hand's median salary is $13.73/hour.</t>
  </si>
  <si>
    <t>-8 Barges/month X 1,500 tons/barge = 12,000 tons/month</t>
  </si>
  <si>
    <t xml:space="preserve">-(12,000 tons/month) / (30 tons/truck) = 400 trucks off of road/month </t>
  </si>
  <si>
    <t>-(400 trucks off of road/month) X (12 months/year) = 4,800 trucks off road/year</t>
  </si>
  <si>
    <t>-The 1300 mile trip with a 55 MPH Average Takes 21.82 Hours Per Trip</t>
  </si>
  <si>
    <t>-The Payroll Cost Per Hour came from the Revised Departmental Guidance on Valuation of Travel Time in Economic Analysis; Table 3 (Revision, 2015)</t>
  </si>
  <si>
    <t>Annual Payroll Dollars Saved for Travel Time at $25.80 per hour</t>
  </si>
  <si>
    <t>Annual Number of Truck Trips Saved</t>
  </si>
  <si>
    <t>-Average Number of Truck Loads (TEU) Per Barge is 80</t>
  </si>
  <si>
    <t>-Years 1-4 are calculated at 96 trips annually</t>
  </si>
  <si>
    <t>-Years 5-20 are calculated at additional trips due to construction completed</t>
  </si>
  <si>
    <t>- 1 barge (195' long X 35' wide, with a 9' draft) = 1,500 tons capacity ; 1 truck = 30 tons capacity</t>
  </si>
  <si>
    <t>-8 barge trips/month X 12 months/year = 96 barge trips/year (Years 1-4)</t>
  </si>
  <si>
    <t>(55.57 to 1.00)</t>
  </si>
  <si>
    <t>(326.01 to 1.00)</t>
  </si>
  <si>
    <t>Environmental Protection</t>
  </si>
  <si>
    <t>(Construction Costs $5,000,000 + NPV Annual Maintenance $549,130  - Remaining  Capital Value $2,325,771)</t>
  </si>
  <si>
    <t>(Construction Costs $5,000,000 + NPV Annual Maintenance $798,533  - Remaining  Capital Value $4,983,082)</t>
  </si>
  <si>
    <t>-The Trip Miles for the Barge is 1300 from Morgan City facility to Burnsville, MN facility (The same as the Trucks)</t>
  </si>
  <si>
    <t>Economic Competitiveness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</si>
</sst>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;[Red]&quot;$&quot;#,##0.00"/>
    <numFmt numFmtId="167" formatCode="#,##0;[Red]#,##0"/>
    <numFmt numFmtId="168" formatCode="0.000000"/>
    <numFmt numFmtId="169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10" fontId="46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0" fontId="4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6" fontId="0" fillId="0" borderId="0" xfId="0" applyNumberFormat="1" applyAlignment="1">
      <alignment/>
    </xf>
    <xf numFmtId="165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wrapText="1"/>
    </xf>
    <xf numFmtId="165" fontId="46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46" fillId="0" borderId="0" xfId="0" applyNumberFormat="1" applyFont="1" applyAlignment="1">
      <alignment/>
    </xf>
    <xf numFmtId="167" fontId="46" fillId="0" borderId="0" xfId="0" applyNumberFormat="1" applyFont="1" applyBorder="1" applyAlignment="1">
      <alignment/>
    </xf>
    <xf numFmtId="167" fontId="4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center" wrapText="1"/>
    </xf>
    <xf numFmtId="166" fontId="46" fillId="0" borderId="0" xfId="0" applyNumberFormat="1" applyFont="1" applyBorder="1" applyAlignment="1">
      <alignment horizontal="center" wrapText="1"/>
    </xf>
    <xf numFmtId="166" fontId="46" fillId="0" borderId="10" xfId="0" applyNumberFormat="1" applyFont="1" applyBorder="1" applyAlignment="1">
      <alignment horizontal="center" wrapText="1"/>
    </xf>
    <xf numFmtId="166" fontId="46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6" fillId="0" borderId="0" xfId="0" applyNumberFormat="1" applyFont="1" applyAlignment="1">
      <alignment/>
    </xf>
    <xf numFmtId="169" fontId="46" fillId="0" borderId="0" xfId="0" applyNumberFormat="1" applyFont="1" applyBorder="1" applyAlignment="1">
      <alignment horizontal="center" wrapText="1"/>
    </xf>
    <xf numFmtId="0" fontId="43" fillId="0" borderId="11" xfId="0" applyFont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46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 horizontal="center" wrapText="1"/>
    </xf>
    <xf numFmtId="164" fontId="46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11" xfId="0" applyFont="1" applyBorder="1" applyAlignment="1">
      <alignment horizontal="center"/>
    </xf>
    <xf numFmtId="6" fontId="46" fillId="0" borderId="0" xfId="0" applyNumberFormat="1" applyFont="1" applyAlignment="1">
      <alignment/>
    </xf>
    <xf numFmtId="6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165" fontId="46" fillId="0" borderId="0" xfId="0" applyNumberFormat="1" applyFont="1" applyBorder="1" applyAlignment="1">
      <alignment horizontal="right"/>
    </xf>
    <xf numFmtId="6" fontId="46" fillId="0" borderId="11" xfId="0" applyNumberFormat="1" applyFont="1" applyBorder="1" applyAlignment="1">
      <alignment horizontal="right"/>
    </xf>
    <xf numFmtId="6" fontId="46" fillId="0" borderId="12" xfId="0" applyNumberFormat="1" applyFont="1" applyBorder="1" applyAlignment="1">
      <alignment horizontal="right"/>
    </xf>
    <xf numFmtId="6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164" fontId="46" fillId="0" borderId="0" xfId="0" applyNumberFormat="1" applyFont="1" applyBorder="1" applyAlignment="1">
      <alignment wrapText="1"/>
    </xf>
    <xf numFmtId="164" fontId="4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46" fillId="0" borderId="0" xfId="0" applyNumberFormat="1" applyFont="1" applyAlignment="1">
      <alignment/>
    </xf>
    <xf numFmtId="169" fontId="46" fillId="0" borderId="0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46" fillId="0" borderId="0" xfId="0" applyNumberFormat="1" applyFont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67" fontId="46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167" fontId="46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167" fontId="46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center"/>
    </xf>
    <xf numFmtId="167" fontId="46" fillId="0" borderId="11" xfId="0" applyNumberFormat="1" applyFont="1" applyBorder="1" applyAlignment="1">
      <alignment horizontal="center"/>
    </xf>
    <xf numFmtId="166" fontId="46" fillId="0" borderId="11" xfId="0" applyNumberFormat="1" applyFont="1" applyBorder="1" applyAlignment="1">
      <alignment horizontal="center"/>
    </xf>
    <xf numFmtId="165" fontId="46" fillId="0" borderId="12" xfId="0" applyNumberFormat="1" applyFont="1" applyBorder="1" applyAlignment="1">
      <alignment horizontal="center"/>
    </xf>
    <xf numFmtId="164" fontId="46" fillId="0" borderId="0" xfId="0" applyNumberFormat="1" applyFont="1" applyFill="1" applyAlignment="1">
      <alignment/>
    </xf>
    <xf numFmtId="169" fontId="46" fillId="0" borderId="0" xfId="0" applyNumberFormat="1" applyFont="1" applyAlignment="1">
      <alignment horizontal="center"/>
    </xf>
    <xf numFmtId="169" fontId="46" fillId="0" borderId="11" xfId="0" applyNumberFormat="1" applyFont="1" applyBorder="1" applyAlignment="1">
      <alignment horizontal="center"/>
    </xf>
    <xf numFmtId="169" fontId="46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wrapText="1"/>
    </xf>
    <xf numFmtId="165" fontId="4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167" fontId="46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168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66" fontId="46" fillId="0" borderId="0" xfId="0" applyNumberFormat="1" applyFont="1" applyFill="1" applyBorder="1" applyAlignment="1">
      <alignment horizontal="center"/>
    </xf>
    <xf numFmtId="6" fontId="46" fillId="0" borderId="0" xfId="0" applyNumberFormat="1" applyFont="1" applyBorder="1" applyAlignment="1">
      <alignment/>
    </xf>
    <xf numFmtId="6" fontId="46" fillId="0" borderId="0" xfId="0" applyNumberFormat="1" applyFont="1" applyBorder="1" applyAlignment="1">
      <alignment horizontal="right"/>
    </xf>
    <xf numFmtId="167" fontId="0" fillId="0" borderId="11" xfId="0" applyNumberFormat="1" applyBorder="1" applyAlignment="1">
      <alignment horizontal="center"/>
    </xf>
    <xf numFmtId="164" fontId="46" fillId="0" borderId="0" xfId="0" applyNumberFormat="1" applyFont="1" applyAlignment="1" applyProtection="1">
      <alignment/>
      <protection locked="0"/>
    </xf>
    <xf numFmtId="167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166" fontId="46" fillId="0" borderId="0" xfId="0" applyNumberFormat="1" applyFont="1" applyFill="1" applyAlignment="1">
      <alignment/>
    </xf>
    <xf numFmtId="169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 quotePrefix="1">
      <alignment/>
    </xf>
    <xf numFmtId="0" fontId="50" fillId="0" borderId="0" xfId="0" applyFont="1" applyAlignment="1">
      <alignment/>
    </xf>
    <xf numFmtId="6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6" fontId="46" fillId="0" borderId="11" xfId="0" applyNumberFormat="1" applyFont="1" applyBorder="1" applyAlignment="1">
      <alignment/>
    </xf>
    <xf numFmtId="6" fontId="46" fillId="0" borderId="12" xfId="0" applyNumberFormat="1" applyFont="1" applyBorder="1" applyAlignment="1">
      <alignment/>
    </xf>
    <xf numFmtId="40" fontId="46" fillId="0" borderId="12" xfId="0" applyNumberFormat="1" applyFont="1" applyBorder="1" applyAlignment="1">
      <alignment/>
    </xf>
    <xf numFmtId="6" fontId="51" fillId="0" borderId="0" xfId="0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6" fontId="0" fillId="0" borderId="0" xfId="0" applyNumberFormat="1" applyAlignment="1">
      <alignment horizontal="right"/>
    </xf>
    <xf numFmtId="6" fontId="50" fillId="0" borderId="11" xfId="0" applyNumberFormat="1" applyFont="1" applyBorder="1" applyAlignment="1">
      <alignment horizontal="right"/>
    </xf>
    <xf numFmtId="6" fontId="46" fillId="0" borderId="13" xfId="0" applyNumberFormat="1" applyFont="1" applyBorder="1" applyAlignment="1">
      <alignment horizontal="right"/>
    </xf>
    <xf numFmtId="40" fontId="46" fillId="0" borderId="12" xfId="0" applyNumberFormat="1" applyFont="1" applyBorder="1" applyAlignment="1">
      <alignment horizontal="right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64" fontId="49" fillId="0" borderId="19" xfId="0" applyNumberFormat="1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164" fontId="46" fillId="33" borderId="17" xfId="0" applyNumberFormat="1" applyFont="1" applyFill="1" applyBorder="1" applyAlignment="1">
      <alignment horizontal="center" vertical="center"/>
    </xf>
    <xf numFmtId="164" fontId="46" fillId="33" borderId="22" xfId="0" applyNumberFormat="1" applyFont="1" applyFill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164" fontId="46" fillId="0" borderId="23" xfId="0" applyNumberFormat="1" applyFont="1" applyBorder="1" applyAlignment="1">
      <alignment horizontal="center" vertical="center"/>
    </xf>
    <xf numFmtId="164" fontId="46" fillId="33" borderId="23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/>
    </xf>
    <xf numFmtId="169" fontId="46" fillId="0" borderId="14" xfId="0" applyNumberFormat="1" applyFont="1" applyBorder="1" applyAlignment="1">
      <alignment horizontal="center" vertical="center"/>
    </xf>
    <xf numFmtId="169" fontId="46" fillId="34" borderId="23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34" borderId="0" xfId="0" applyFont="1" applyFill="1" applyAlignment="1" quotePrefix="1">
      <alignment/>
    </xf>
    <xf numFmtId="0" fontId="46" fillId="34" borderId="0" xfId="0" applyFont="1" applyFill="1" applyAlignment="1">
      <alignment/>
    </xf>
    <xf numFmtId="3" fontId="46" fillId="34" borderId="0" xfId="0" applyNumberFormat="1" applyFont="1" applyFill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11" xfId="0" applyFont="1" applyBorder="1" applyAlignment="1">
      <alignment horizontal="center"/>
    </xf>
    <xf numFmtId="6" fontId="46" fillId="0" borderId="0" xfId="0" applyNumberFormat="1" applyFont="1" applyAlignment="1">
      <alignment horizontal="right"/>
    </xf>
    <xf numFmtId="0" fontId="46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 quotePrefix="1">
      <alignment horizontal="left" wrapText="1"/>
    </xf>
    <xf numFmtId="3" fontId="46" fillId="0" borderId="0" xfId="0" applyNumberFormat="1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center" wrapText="1"/>
    </xf>
    <xf numFmtId="164" fontId="46" fillId="0" borderId="0" xfId="0" applyNumberFormat="1" applyFont="1" applyAlignment="1">
      <alignment horizontal="center" wrapText="1"/>
    </xf>
    <xf numFmtId="164" fontId="46" fillId="0" borderId="10" xfId="0" applyNumberFormat="1" applyFont="1" applyBorder="1" applyAlignment="1">
      <alignment horizontal="center" wrapText="1"/>
    </xf>
    <xf numFmtId="165" fontId="46" fillId="0" borderId="0" xfId="0" applyNumberFormat="1" applyFont="1" applyBorder="1" applyAlignment="1">
      <alignment horizontal="center" wrapText="1"/>
    </xf>
    <xf numFmtId="165" fontId="46" fillId="0" borderId="10" xfId="0" applyNumberFormat="1" applyFont="1" applyBorder="1" applyAlignment="1">
      <alignment horizontal="center" wrapText="1"/>
    </xf>
    <xf numFmtId="164" fontId="46" fillId="0" borderId="0" xfId="0" applyNumberFormat="1" applyFont="1" applyBorder="1" applyAlignment="1">
      <alignment horizontal="center" wrapText="1"/>
    </xf>
    <xf numFmtId="167" fontId="46" fillId="0" borderId="0" xfId="0" applyNumberFormat="1" applyFont="1" applyBorder="1" applyAlignment="1">
      <alignment horizontal="center" vertical="center" wrapText="1"/>
    </xf>
    <xf numFmtId="167" fontId="46" fillId="0" borderId="1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67" fontId="46" fillId="0" borderId="0" xfId="0" applyNumberFormat="1" applyFont="1" applyBorder="1" applyAlignment="1">
      <alignment horizontal="center" wrapText="1"/>
    </xf>
    <xf numFmtId="167" fontId="46" fillId="0" borderId="10" xfId="0" applyNumberFormat="1" applyFont="1" applyBorder="1" applyAlignment="1">
      <alignment horizontal="center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9" fontId="46" fillId="0" borderId="0" xfId="0" applyNumberFormat="1" applyFont="1" applyBorder="1" applyAlignment="1">
      <alignment horizontal="center" wrapText="1"/>
    </xf>
    <xf numFmtId="169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 quotePrefix="1">
      <alignment horizontal="center" wrapText="1"/>
    </xf>
    <xf numFmtId="0" fontId="0" fillId="0" borderId="0" xfId="0" applyAlignment="1" quotePrefix="1">
      <alignment horizontal="left" wrapText="1"/>
    </xf>
    <xf numFmtId="166" fontId="46" fillId="0" borderId="0" xfId="0" applyNumberFormat="1" applyFont="1" applyBorder="1" applyAlignment="1">
      <alignment horizontal="center" wrapText="1"/>
    </xf>
    <xf numFmtId="166" fontId="4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5.00390625" style="0" customWidth="1"/>
    <col min="2" max="2" width="25.28125" style="0" customWidth="1"/>
    <col min="3" max="3" width="14.57421875" style="0" customWidth="1"/>
    <col min="4" max="4" width="13.7109375" style="37" customWidth="1"/>
    <col min="5" max="5" width="12.57421875" style="37" customWidth="1"/>
    <col min="6" max="6" width="12.7109375" style="37" customWidth="1"/>
  </cols>
  <sheetData>
    <row r="1" ht="23.25">
      <c r="A1" s="2" t="s">
        <v>0</v>
      </c>
    </row>
    <row r="2" ht="15">
      <c r="A2" t="s">
        <v>137</v>
      </c>
    </row>
    <row r="3" ht="15">
      <c r="A3" s="1" t="s">
        <v>39</v>
      </c>
    </row>
    <row r="5" ht="15.75" thickBot="1"/>
    <row r="6" spans="1:6" ht="24.75" thickBot="1">
      <c r="A6" s="142" t="s">
        <v>114</v>
      </c>
      <c r="B6" s="143" t="s">
        <v>115</v>
      </c>
      <c r="C6" s="143" t="s">
        <v>116</v>
      </c>
      <c r="D6" s="145" t="s">
        <v>111</v>
      </c>
      <c r="E6" s="145" t="s">
        <v>112</v>
      </c>
      <c r="F6" s="146" t="s">
        <v>113</v>
      </c>
    </row>
    <row r="7" spans="1:6" ht="51" customHeight="1">
      <c r="A7" s="140" t="s">
        <v>117</v>
      </c>
      <c r="B7" s="141" t="s">
        <v>118</v>
      </c>
      <c r="C7" s="141" t="s">
        <v>132</v>
      </c>
      <c r="D7" s="147"/>
      <c r="E7" s="147"/>
      <c r="F7" s="148"/>
    </row>
    <row r="8" spans="1:6" ht="36" customHeight="1">
      <c r="A8" s="139" t="s">
        <v>133</v>
      </c>
      <c r="B8" s="137" t="s">
        <v>119</v>
      </c>
      <c r="C8" s="138" t="s">
        <v>120</v>
      </c>
      <c r="D8" s="149">
        <v>160316228</v>
      </c>
      <c r="E8" s="149">
        <v>77354889</v>
      </c>
      <c r="F8" s="150">
        <v>114704942</v>
      </c>
    </row>
    <row r="9" spans="1:6" ht="36" customHeight="1">
      <c r="A9" s="139" t="s">
        <v>172</v>
      </c>
      <c r="B9" s="137" t="s">
        <v>121</v>
      </c>
      <c r="C9" s="138" t="s">
        <v>121</v>
      </c>
      <c r="D9" s="149">
        <v>1743763773</v>
      </c>
      <c r="E9" s="149">
        <v>84083358</v>
      </c>
      <c r="F9" s="150">
        <v>124731729</v>
      </c>
    </row>
    <row r="10" spans="1:6" ht="36" customHeight="1">
      <c r="A10" s="139" t="s">
        <v>168</v>
      </c>
      <c r="B10" s="137" t="s">
        <v>122</v>
      </c>
      <c r="C10" s="138" t="s">
        <v>123</v>
      </c>
      <c r="D10" s="149">
        <v>14502503</v>
      </c>
      <c r="E10" s="149">
        <v>6765430</v>
      </c>
      <c r="F10" s="150">
        <v>10226024</v>
      </c>
    </row>
    <row r="11" spans="1:6" ht="36" customHeight="1">
      <c r="A11" s="139" t="s">
        <v>124</v>
      </c>
      <c r="B11" s="137" t="s">
        <v>125</v>
      </c>
      <c r="C11" s="138" t="s">
        <v>126</v>
      </c>
      <c r="D11" s="149">
        <v>22618585</v>
      </c>
      <c r="E11" s="149">
        <v>10913798</v>
      </c>
      <c r="F11" s="150">
        <v>16183411</v>
      </c>
    </row>
    <row r="12" spans="1:6" ht="36" customHeight="1">
      <c r="A12" s="139" t="s">
        <v>127</v>
      </c>
      <c r="B12" s="161" t="s">
        <v>169</v>
      </c>
      <c r="C12" s="162"/>
      <c r="D12" s="163"/>
      <c r="E12" s="149">
        <v>3223359</v>
      </c>
      <c r="F12" s="151"/>
    </row>
    <row r="13" spans="1:6" ht="36" customHeight="1">
      <c r="A13" s="139" t="s">
        <v>128</v>
      </c>
      <c r="B13" s="161" t="s">
        <v>170</v>
      </c>
      <c r="C13" s="162"/>
      <c r="D13" s="163"/>
      <c r="E13" s="152"/>
      <c r="F13" s="150">
        <v>815451</v>
      </c>
    </row>
    <row r="14" spans="1:6" ht="36" customHeight="1">
      <c r="A14" s="144" t="s">
        <v>129</v>
      </c>
      <c r="B14" s="164"/>
      <c r="C14" s="164"/>
      <c r="D14" s="165"/>
      <c r="E14" s="149">
        <v>179117475</v>
      </c>
      <c r="F14" s="150">
        <v>265846106</v>
      </c>
    </row>
    <row r="15" spans="1:6" ht="36" customHeight="1">
      <c r="A15" s="144" t="s">
        <v>47</v>
      </c>
      <c r="B15" s="159"/>
      <c r="C15" s="159"/>
      <c r="D15" s="160"/>
      <c r="E15" s="149">
        <v>175894116</v>
      </c>
      <c r="F15" s="150">
        <v>265030659</v>
      </c>
    </row>
    <row r="16" spans="1:6" ht="36" customHeight="1">
      <c r="A16" s="144" t="s">
        <v>131</v>
      </c>
      <c r="B16" s="159"/>
      <c r="C16" s="159"/>
      <c r="D16" s="160"/>
      <c r="E16" s="153">
        <v>55.57</v>
      </c>
      <c r="F16" s="151"/>
    </row>
    <row r="17" spans="1:6" ht="36" customHeight="1">
      <c r="A17" s="144" t="s">
        <v>130</v>
      </c>
      <c r="B17" s="159"/>
      <c r="C17" s="159"/>
      <c r="D17" s="160"/>
      <c r="E17" s="152"/>
      <c r="F17" s="154">
        <v>326.01</v>
      </c>
    </row>
  </sheetData>
  <sheetProtection/>
  <mergeCells count="6">
    <mergeCell ref="B17:D17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Q42"/>
    </sheetView>
  </sheetViews>
  <sheetFormatPr defaultColWidth="9.140625" defaultRowHeight="15"/>
  <cols>
    <col min="1" max="1" width="5.421875" style="0" customWidth="1"/>
    <col min="2" max="2" width="1.8515625" style="0" customWidth="1"/>
    <col min="3" max="3" width="7.7109375" style="0" customWidth="1"/>
    <col min="4" max="4" width="1.7109375" style="0" customWidth="1"/>
    <col min="5" max="5" width="7.421875" style="21" customWidth="1"/>
    <col min="6" max="6" width="2.00390625" style="0" customWidth="1"/>
    <col min="7" max="7" width="8.28125" style="0" customWidth="1"/>
    <col min="8" max="8" width="2.00390625" style="0" customWidth="1"/>
    <col min="9" max="9" width="7.421875" style="25" customWidth="1"/>
    <col min="10" max="10" width="1.57421875" style="0" customWidth="1"/>
    <col min="11" max="11" width="9.00390625" style="0" customWidth="1"/>
    <col min="12" max="12" width="1.57421875" style="0" customWidth="1"/>
    <col min="13" max="13" width="9.140625" style="16" customWidth="1"/>
    <col min="14" max="14" width="1.28515625" style="0" customWidth="1"/>
    <col min="15" max="15" width="11.140625" style="16" customWidth="1"/>
    <col min="16" max="16" width="1.421875" style="0" customWidth="1"/>
    <col min="17" max="17" width="11.421875" style="32" customWidth="1"/>
    <col min="18" max="18" width="3.57421875" style="0" customWidth="1"/>
    <col min="19" max="19" width="5.7109375" style="55" customWidth="1"/>
    <col min="20" max="20" width="3.7109375" style="55" customWidth="1"/>
    <col min="21" max="21" width="4.8515625" style="55" customWidth="1"/>
  </cols>
  <sheetData>
    <row r="1" ht="23.25">
      <c r="A1" s="2" t="s">
        <v>0</v>
      </c>
    </row>
    <row r="2" ht="15">
      <c r="A2" t="s">
        <v>137</v>
      </c>
    </row>
    <row r="3" ht="15">
      <c r="A3" s="1" t="s">
        <v>19</v>
      </c>
    </row>
    <row r="5" ht="15">
      <c r="K5" s="175" t="s">
        <v>23</v>
      </c>
    </row>
    <row r="6" spans="1:17" ht="15" customHeight="1">
      <c r="A6" s="3"/>
      <c r="B6" s="3"/>
      <c r="C6" s="3"/>
      <c r="D6" s="3"/>
      <c r="E6" s="22"/>
      <c r="F6" s="3"/>
      <c r="G6" s="3"/>
      <c r="H6" s="3"/>
      <c r="I6" s="26"/>
      <c r="J6" s="3"/>
      <c r="K6" s="175"/>
      <c r="L6" s="19"/>
      <c r="M6" s="191" t="s">
        <v>24</v>
      </c>
      <c r="N6" s="3"/>
      <c r="O6" s="31"/>
      <c r="P6" s="3"/>
      <c r="Q6" s="33"/>
    </row>
    <row r="7" spans="1:17" ht="15" customHeight="1">
      <c r="A7" s="3"/>
      <c r="B7" s="4"/>
      <c r="C7" s="4"/>
      <c r="D7" s="4"/>
      <c r="E7" s="23"/>
      <c r="F7" s="4"/>
      <c r="G7" s="4"/>
      <c r="H7" s="4"/>
      <c r="I7" s="27"/>
      <c r="J7" s="15"/>
      <c r="K7" s="175"/>
      <c r="L7" s="19"/>
      <c r="M7" s="191"/>
      <c r="N7" s="4"/>
      <c r="O7" s="191" t="s">
        <v>108</v>
      </c>
      <c r="P7" s="5"/>
      <c r="Q7" s="187" t="s">
        <v>109</v>
      </c>
    </row>
    <row r="8" spans="1:17" ht="15" customHeight="1">
      <c r="A8" s="4"/>
      <c r="B8" s="4"/>
      <c r="C8" s="4"/>
      <c r="D8" s="4"/>
      <c r="E8" s="178" t="s">
        <v>20</v>
      </c>
      <c r="F8" s="17"/>
      <c r="G8" s="185" t="s">
        <v>21</v>
      </c>
      <c r="H8" s="17"/>
      <c r="I8" s="171" t="s">
        <v>22</v>
      </c>
      <c r="J8" s="19"/>
      <c r="K8" s="175"/>
      <c r="L8" s="19"/>
      <c r="M8" s="191"/>
      <c r="N8" s="6"/>
      <c r="O8" s="191"/>
      <c r="P8" s="5"/>
      <c r="Q8" s="187"/>
    </row>
    <row r="9" spans="1:17" ht="15" customHeight="1">
      <c r="A9" s="4"/>
      <c r="B9" s="4"/>
      <c r="C9" s="4"/>
      <c r="D9" s="4"/>
      <c r="E9" s="178"/>
      <c r="F9" s="17"/>
      <c r="G9" s="185"/>
      <c r="H9" s="17"/>
      <c r="I9" s="171"/>
      <c r="J9" s="19"/>
      <c r="K9" s="175"/>
      <c r="L9" s="19"/>
      <c r="M9" s="191"/>
      <c r="N9" s="6"/>
      <c r="O9" s="191"/>
      <c r="P9" s="5"/>
      <c r="Q9" s="187"/>
    </row>
    <row r="10" spans="1:17" ht="15">
      <c r="A10" s="168" t="s">
        <v>12</v>
      </c>
      <c r="B10" s="4"/>
      <c r="C10" s="168" t="s">
        <v>3</v>
      </c>
      <c r="D10" s="4"/>
      <c r="E10" s="178"/>
      <c r="F10" s="17"/>
      <c r="G10" s="185"/>
      <c r="H10" s="17"/>
      <c r="I10" s="171"/>
      <c r="J10" s="19"/>
      <c r="K10" s="175"/>
      <c r="L10" s="19"/>
      <c r="M10" s="191"/>
      <c r="N10" s="6"/>
      <c r="O10" s="191"/>
      <c r="P10" s="5"/>
      <c r="Q10" s="187"/>
    </row>
    <row r="11" spans="1:17" ht="15.75" thickBot="1">
      <c r="A11" s="169"/>
      <c r="B11" s="7"/>
      <c r="C11" s="169"/>
      <c r="D11" s="7"/>
      <c r="E11" s="179"/>
      <c r="F11" s="18"/>
      <c r="G11" s="186"/>
      <c r="H11" s="18"/>
      <c r="I11" s="172"/>
      <c r="J11" s="20"/>
      <c r="K11" s="176"/>
      <c r="L11" s="20"/>
      <c r="M11" s="192"/>
      <c r="N11" s="8"/>
      <c r="O11" s="192"/>
      <c r="P11" s="9"/>
      <c r="Q11" s="188"/>
    </row>
    <row r="13" spans="1:17" ht="15">
      <c r="A13" s="55">
        <v>1</v>
      </c>
      <c r="B13" s="55"/>
      <c r="C13" s="55">
        <v>2019</v>
      </c>
      <c r="D13" s="55"/>
      <c r="E13" s="64">
        <f>SUM(80*G13)</f>
        <v>7680</v>
      </c>
      <c r="F13" s="55"/>
      <c r="G13" s="55">
        <v>96</v>
      </c>
      <c r="H13" s="55"/>
      <c r="I13" s="58">
        <f>SUM(G13*1300)</f>
        <v>124800</v>
      </c>
      <c r="J13" s="55"/>
      <c r="K13" s="109">
        <f>SUM(I13/1000000000)</f>
        <v>0.0001248</v>
      </c>
      <c r="L13" s="55"/>
      <c r="M13" s="65">
        <f>SUM(K13*91112)</f>
        <v>11.3707776</v>
      </c>
      <c r="N13" s="55"/>
      <c r="O13" s="65">
        <f>SUM(M13/(1.07)^A13)</f>
        <v>10.626894953271028</v>
      </c>
      <c r="P13" s="55"/>
      <c r="Q13" s="61">
        <f>SUM(M13/(1.03)^A13)</f>
        <v>11.03958990291262</v>
      </c>
    </row>
    <row r="14" spans="1:17" ht="15">
      <c r="A14" s="55">
        <v>2</v>
      </c>
      <c r="B14" s="55"/>
      <c r="C14" s="55">
        <v>2020</v>
      </c>
      <c r="D14" s="55"/>
      <c r="E14" s="64">
        <f aca="true" t="shared" si="0" ref="E14:E32">SUM(80*G14)</f>
        <v>7680</v>
      </c>
      <c r="F14" s="55"/>
      <c r="G14" s="55">
        <v>96</v>
      </c>
      <c r="H14" s="55"/>
      <c r="I14" s="58">
        <f aca="true" t="shared" si="1" ref="I14:I32">SUM(G14*1300)</f>
        <v>124800</v>
      </c>
      <c r="J14" s="55"/>
      <c r="K14" s="109">
        <f aca="true" t="shared" si="2" ref="K14:K32">SUM(I14/1000000000)</f>
        <v>0.0001248</v>
      </c>
      <c r="L14" s="55"/>
      <c r="M14" s="65">
        <f aca="true" t="shared" si="3" ref="M14:M32">SUM(K14*91112)</f>
        <v>11.3707776</v>
      </c>
      <c r="N14" s="55"/>
      <c r="O14" s="65">
        <f aca="true" t="shared" si="4" ref="O14:O32">SUM(M14/(1.07)^A14)</f>
        <v>9.931677526421522</v>
      </c>
      <c r="P14" s="55"/>
      <c r="Q14" s="61">
        <f aca="true" t="shared" si="5" ref="Q14:Q32">SUM(M14/(1.03)^A14)</f>
        <v>10.71804844942973</v>
      </c>
    </row>
    <row r="15" spans="1:17" ht="15">
      <c r="A15" s="55">
        <v>3</v>
      </c>
      <c r="B15" s="55"/>
      <c r="C15" s="55">
        <v>2021</v>
      </c>
      <c r="D15" s="55"/>
      <c r="E15" s="64">
        <f t="shared" si="0"/>
        <v>7680</v>
      </c>
      <c r="F15" s="55"/>
      <c r="G15" s="55">
        <v>96</v>
      </c>
      <c r="H15" s="55"/>
      <c r="I15" s="58">
        <f t="shared" si="1"/>
        <v>124800</v>
      </c>
      <c r="J15" s="55"/>
      <c r="K15" s="109">
        <f t="shared" si="2"/>
        <v>0.0001248</v>
      </c>
      <c r="L15" s="55"/>
      <c r="M15" s="65">
        <f t="shared" si="3"/>
        <v>11.3707776</v>
      </c>
      <c r="N15" s="55"/>
      <c r="O15" s="65">
        <f t="shared" si="4"/>
        <v>9.281941613478057</v>
      </c>
      <c r="P15" s="55"/>
      <c r="Q15" s="61">
        <f t="shared" si="5"/>
        <v>10.405872280999738</v>
      </c>
    </row>
    <row r="16" spans="1:17" ht="15">
      <c r="A16" s="55">
        <v>4</v>
      </c>
      <c r="B16" s="55"/>
      <c r="C16" s="55">
        <v>2022</v>
      </c>
      <c r="D16" s="55"/>
      <c r="E16" s="64">
        <f t="shared" si="0"/>
        <v>7680</v>
      </c>
      <c r="F16" s="55"/>
      <c r="G16" s="55">
        <v>96</v>
      </c>
      <c r="H16" s="55"/>
      <c r="I16" s="58">
        <f t="shared" si="1"/>
        <v>124800</v>
      </c>
      <c r="J16" s="55"/>
      <c r="K16" s="109">
        <f t="shared" si="2"/>
        <v>0.0001248</v>
      </c>
      <c r="L16" s="55"/>
      <c r="M16" s="65">
        <f t="shared" si="3"/>
        <v>11.3707776</v>
      </c>
      <c r="N16" s="55"/>
      <c r="O16" s="65">
        <f t="shared" si="4"/>
        <v>8.67471178829725</v>
      </c>
      <c r="P16" s="55"/>
      <c r="Q16" s="61">
        <f t="shared" si="5"/>
        <v>10.102788622329843</v>
      </c>
    </row>
    <row r="17" spans="1:17" ht="15">
      <c r="A17" s="55">
        <v>5</v>
      </c>
      <c r="B17" s="55"/>
      <c r="C17" s="55">
        <v>2023</v>
      </c>
      <c r="D17" s="55"/>
      <c r="E17" s="64">
        <f t="shared" si="0"/>
        <v>15360</v>
      </c>
      <c r="F17" s="55"/>
      <c r="G17" s="55">
        <v>192</v>
      </c>
      <c r="H17" s="55"/>
      <c r="I17" s="58">
        <f t="shared" si="1"/>
        <v>249600</v>
      </c>
      <c r="J17" s="55"/>
      <c r="K17" s="109">
        <f t="shared" si="2"/>
        <v>0.0002496</v>
      </c>
      <c r="L17" s="55"/>
      <c r="M17" s="65">
        <f t="shared" si="3"/>
        <v>22.7415552</v>
      </c>
      <c r="N17" s="55"/>
      <c r="O17" s="65">
        <f t="shared" si="4"/>
        <v>16.21441455756495</v>
      </c>
      <c r="P17" s="55"/>
      <c r="Q17" s="61">
        <f t="shared" si="5"/>
        <v>19.617065286077366</v>
      </c>
    </row>
    <row r="18" spans="1:17" ht="15">
      <c r="A18" s="55">
        <v>6</v>
      </c>
      <c r="B18" s="55"/>
      <c r="C18" s="55">
        <v>2024</v>
      </c>
      <c r="D18" s="55"/>
      <c r="E18" s="64">
        <f t="shared" si="0"/>
        <v>15360</v>
      </c>
      <c r="F18" s="55"/>
      <c r="G18" s="55">
        <v>192</v>
      </c>
      <c r="H18" s="55"/>
      <c r="I18" s="58">
        <f t="shared" si="1"/>
        <v>249600</v>
      </c>
      <c r="J18" s="55"/>
      <c r="K18" s="109">
        <f t="shared" si="2"/>
        <v>0.0002496</v>
      </c>
      <c r="L18" s="55"/>
      <c r="M18" s="65">
        <f t="shared" si="3"/>
        <v>22.7415552</v>
      </c>
      <c r="N18" s="55"/>
      <c r="O18" s="65">
        <f t="shared" si="4"/>
        <v>15.153658465013974</v>
      </c>
      <c r="P18" s="55"/>
      <c r="Q18" s="61">
        <f t="shared" si="5"/>
        <v>19.045694452502296</v>
      </c>
    </row>
    <row r="19" spans="1:17" ht="15">
      <c r="A19" s="55">
        <v>7</v>
      </c>
      <c r="B19" s="55"/>
      <c r="C19" s="55">
        <v>2025</v>
      </c>
      <c r="D19" s="55"/>
      <c r="E19" s="64">
        <f t="shared" si="0"/>
        <v>15360</v>
      </c>
      <c r="F19" s="55"/>
      <c r="G19" s="55">
        <v>192</v>
      </c>
      <c r="H19" s="55"/>
      <c r="I19" s="58">
        <f t="shared" si="1"/>
        <v>249600</v>
      </c>
      <c r="J19" s="55"/>
      <c r="K19" s="109">
        <f t="shared" si="2"/>
        <v>0.0002496</v>
      </c>
      <c r="L19" s="55"/>
      <c r="M19" s="65">
        <f t="shared" si="3"/>
        <v>22.7415552</v>
      </c>
      <c r="N19" s="55"/>
      <c r="O19" s="65">
        <f t="shared" si="4"/>
        <v>14.162297630854182</v>
      </c>
      <c r="P19" s="55"/>
      <c r="Q19" s="61">
        <f t="shared" si="5"/>
        <v>18.490965487866305</v>
      </c>
    </row>
    <row r="20" spans="1:17" ht="15">
      <c r="A20" s="55">
        <v>8</v>
      </c>
      <c r="B20" s="55"/>
      <c r="C20" s="55">
        <v>2026</v>
      </c>
      <c r="D20" s="55"/>
      <c r="E20" s="64">
        <f t="shared" si="0"/>
        <v>16000</v>
      </c>
      <c r="F20" s="55"/>
      <c r="G20" s="55">
        <v>200</v>
      </c>
      <c r="H20" s="55"/>
      <c r="I20" s="58">
        <f t="shared" si="1"/>
        <v>260000</v>
      </c>
      <c r="J20" s="55"/>
      <c r="K20" s="109">
        <f t="shared" si="2"/>
        <v>0.00026</v>
      </c>
      <c r="L20" s="55"/>
      <c r="M20" s="65">
        <f t="shared" si="3"/>
        <v>23.68912</v>
      </c>
      <c r="N20" s="55"/>
      <c r="O20" s="65">
        <f t="shared" si="4"/>
        <v>13.787283519133743</v>
      </c>
      <c r="P20" s="55"/>
      <c r="Q20" s="61">
        <f t="shared" si="5"/>
        <v>18.70041008077094</v>
      </c>
    </row>
    <row r="21" spans="1:17" ht="15">
      <c r="A21" s="55">
        <v>9</v>
      </c>
      <c r="B21" s="55"/>
      <c r="C21" s="55">
        <v>2027</v>
      </c>
      <c r="D21" s="55"/>
      <c r="E21" s="64">
        <f t="shared" si="0"/>
        <v>16000</v>
      </c>
      <c r="F21" s="55"/>
      <c r="G21" s="55">
        <v>200</v>
      </c>
      <c r="H21" s="55"/>
      <c r="I21" s="58">
        <f t="shared" si="1"/>
        <v>260000</v>
      </c>
      <c r="J21" s="55"/>
      <c r="K21" s="109">
        <f t="shared" si="2"/>
        <v>0.00026</v>
      </c>
      <c r="L21" s="55"/>
      <c r="M21" s="65">
        <f t="shared" si="3"/>
        <v>23.68912</v>
      </c>
      <c r="N21" s="55"/>
      <c r="O21" s="65">
        <f t="shared" si="4"/>
        <v>12.885311700124992</v>
      </c>
      <c r="P21" s="55"/>
      <c r="Q21" s="61">
        <f t="shared" si="5"/>
        <v>18.15573794249606</v>
      </c>
    </row>
    <row r="22" spans="1:17" ht="15">
      <c r="A22" s="55">
        <v>10</v>
      </c>
      <c r="B22" s="55"/>
      <c r="C22" s="55">
        <v>2028</v>
      </c>
      <c r="D22" s="55"/>
      <c r="E22" s="64">
        <f t="shared" si="0"/>
        <v>16640</v>
      </c>
      <c r="F22" s="55"/>
      <c r="G22" s="55">
        <v>208</v>
      </c>
      <c r="H22" s="55"/>
      <c r="I22" s="58">
        <f t="shared" si="1"/>
        <v>270400</v>
      </c>
      <c r="J22" s="55"/>
      <c r="K22" s="109">
        <f t="shared" si="2"/>
        <v>0.0002704</v>
      </c>
      <c r="L22" s="55"/>
      <c r="M22" s="65">
        <f t="shared" si="3"/>
        <v>24.6366848</v>
      </c>
      <c r="N22" s="55"/>
      <c r="O22" s="65">
        <f t="shared" si="4"/>
        <v>12.524041278626163</v>
      </c>
      <c r="P22" s="55"/>
      <c r="Q22" s="61">
        <f t="shared" si="5"/>
        <v>18.332007242908645</v>
      </c>
    </row>
    <row r="23" spans="1:17" ht="15">
      <c r="A23" s="55">
        <v>11</v>
      </c>
      <c r="B23" s="55"/>
      <c r="C23" s="55">
        <v>2029</v>
      </c>
      <c r="D23" s="55"/>
      <c r="E23" s="64">
        <f t="shared" si="0"/>
        <v>17280</v>
      </c>
      <c r="F23" s="55"/>
      <c r="G23" s="55">
        <v>216</v>
      </c>
      <c r="H23" s="55"/>
      <c r="I23" s="58">
        <f t="shared" si="1"/>
        <v>280800</v>
      </c>
      <c r="J23" s="55"/>
      <c r="K23" s="109">
        <f t="shared" si="2"/>
        <v>0.0002808</v>
      </c>
      <c r="L23" s="55"/>
      <c r="M23" s="65">
        <f t="shared" si="3"/>
        <v>25.5842496</v>
      </c>
      <c r="N23" s="55"/>
      <c r="O23" s="65">
        <f t="shared" si="4"/>
        <v>12.154892685941995</v>
      </c>
      <c r="P23" s="55"/>
      <c r="Q23" s="61">
        <f t="shared" si="5"/>
        <v>18.482606256853373</v>
      </c>
    </row>
    <row r="24" spans="1:17" ht="15">
      <c r="A24" s="55">
        <v>12</v>
      </c>
      <c r="B24" s="55"/>
      <c r="C24" s="55">
        <v>2030</v>
      </c>
      <c r="D24" s="55"/>
      <c r="E24" s="64">
        <f t="shared" si="0"/>
        <v>17280</v>
      </c>
      <c r="F24" s="55"/>
      <c r="G24" s="55">
        <v>216</v>
      </c>
      <c r="H24" s="55"/>
      <c r="I24" s="58">
        <f t="shared" si="1"/>
        <v>280800</v>
      </c>
      <c r="J24" s="55"/>
      <c r="K24" s="109">
        <f t="shared" si="2"/>
        <v>0.0002808</v>
      </c>
      <c r="L24" s="55"/>
      <c r="M24" s="65">
        <f t="shared" si="3"/>
        <v>25.5842496</v>
      </c>
      <c r="N24" s="55"/>
      <c r="O24" s="65">
        <f t="shared" si="4"/>
        <v>11.359712790599998</v>
      </c>
      <c r="P24" s="55"/>
      <c r="Q24" s="61">
        <f t="shared" si="5"/>
        <v>17.944277919275123</v>
      </c>
    </row>
    <row r="25" spans="1:17" ht="15">
      <c r="A25" s="55">
        <v>13</v>
      </c>
      <c r="B25" s="55"/>
      <c r="C25" s="55">
        <v>2031</v>
      </c>
      <c r="D25" s="55"/>
      <c r="E25" s="64">
        <f t="shared" si="0"/>
        <v>17280</v>
      </c>
      <c r="F25" s="55"/>
      <c r="G25" s="55">
        <v>216</v>
      </c>
      <c r="H25" s="55"/>
      <c r="I25" s="58">
        <f t="shared" si="1"/>
        <v>280800</v>
      </c>
      <c r="J25" s="55"/>
      <c r="K25" s="109">
        <f t="shared" si="2"/>
        <v>0.0002808</v>
      </c>
      <c r="L25" s="55"/>
      <c r="M25" s="65">
        <f t="shared" si="3"/>
        <v>25.5842496</v>
      </c>
      <c r="N25" s="55"/>
      <c r="O25" s="65">
        <f t="shared" si="4"/>
        <v>10.616554009906539</v>
      </c>
      <c r="P25" s="55"/>
      <c r="Q25" s="61">
        <f t="shared" si="5"/>
        <v>17.421629047839925</v>
      </c>
    </row>
    <row r="26" spans="1:17" ht="15">
      <c r="A26" s="55">
        <v>14</v>
      </c>
      <c r="B26" s="55"/>
      <c r="C26" s="55">
        <v>2032</v>
      </c>
      <c r="D26" s="55"/>
      <c r="E26" s="64">
        <f t="shared" si="0"/>
        <v>17280</v>
      </c>
      <c r="F26" s="55"/>
      <c r="G26" s="55">
        <v>216</v>
      </c>
      <c r="H26" s="55"/>
      <c r="I26" s="58">
        <f t="shared" si="1"/>
        <v>280800</v>
      </c>
      <c r="J26" s="55"/>
      <c r="K26" s="109">
        <f t="shared" si="2"/>
        <v>0.0002808</v>
      </c>
      <c r="L26" s="55"/>
      <c r="M26" s="65">
        <f t="shared" si="3"/>
        <v>25.5842496</v>
      </c>
      <c r="N26" s="55"/>
      <c r="O26" s="65">
        <f t="shared" si="4"/>
        <v>9.922013093370598</v>
      </c>
      <c r="P26" s="55"/>
      <c r="Q26" s="61">
        <f t="shared" si="5"/>
        <v>16.914202959067886</v>
      </c>
    </row>
    <row r="27" spans="1:17" ht="15">
      <c r="A27" s="55">
        <v>15</v>
      </c>
      <c r="B27" s="55"/>
      <c r="C27" s="55">
        <v>2033</v>
      </c>
      <c r="D27" s="55"/>
      <c r="E27" s="64">
        <f t="shared" si="0"/>
        <v>17920</v>
      </c>
      <c r="F27" s="55"/>
      <c r="G27" s="55">
        <v>224</v>
      </c>
      <c r="H27" s="55"/>
      <c r="I27" s="58">
        <f t="shared" si="1"/>
        <v>291200</v>
      </c>
      <c r="J27" s="55"/>
      <c r="K27" s="109">
        <f t="shared" si="2"/>
        <v>0.0002912</v>
      </c>
      <c r="L27" s="55"/>
      <c r="M27" s="65">
        <f t="shared" si="3"/>
        <v>26.5318144</v>
      </c>
      <c r="N27" s="55"/>
      <c r="O27" s="65">
        <f t="shared" si="4"/>
        <v>9.61635052316984</v>
      </c>
      <c r="P27" s="55"/>
      <c r="Q27" s="61">
        <f t="shared" si="5"/>
        <v>17.029762058752276</v>
      </c>
    </row>
    <row r="28" spans="1:17" ht="15">
      <c r="A28" s="55">
        <v>16</v>
      </c>
      <c r="B28" s="55"/>
      <c r="C28" s="55">
        <v>2034</v>
      </c>
      <c r="D28" s="55"/>
      <c r="E28" s="64">
        <f t="shared" si="0"/>
        <v>17920</v>
      </c>
      <c r="F28" s="55"/>
      <c r="G28" s="55">
        <v>224</v>
      </c>
      <c r="H28" s="55"/>
      <c r="I28" s="58">
        <f t="shared" si="1"/>
        <v>291200</v>
      </c>
      <c r="J28" s="55"/>
      <c r="K28" s="109">
        <f t="shared" si="2"/>
        <v>0.0002912</v>
      </c>
      <c r="L28" s="55"/>
      <c r="M28" s="65">
        <f t="shared" si="3"/>
        <v>26.5318144</v>
      </c>
      <c r="N28" s="55"/>
      <c r="O28" s="65">
        <f t="shared" si="4"/>
        <v>8.987243479597984</v>
      </c>
      <c r="P28" s="55"/>
      <c r="Q28" s="61">
        <f t="shared" si="5"/>
        <v>16.533749571604154</v>
      </c>
    </row>
    <row r="29" spans="1:17" ht="15">
      <c r="A29" s="55">
        <v>17</v>
      </c>
      <c r="B29" s="55"/>
      <c r="C29" s="55">
        <v>2035</v>
      </c>
      <c r="D29" s="55"/>
      <c r="E29" s="64">
        <f>SUM(80*G29)</f>
        <v>17920</v>
      </c>
      <c r="F29" s="55"/>
      <c r="G29" s="55">
        <v>224</v>
      </c>
      <c r="H29" s="55"/>
      <c r="I29" s="58">
        <f t="shared" si="1"/>
        <v>291200</v>
      </c>
      <c r="J29" s="55"/>
      <c r="K29" s="109">
        <f t="shared" si="2"/>
        <v>0.0002912</v>
      </c>
      <c r="L29" s="55"/>
      <c r="M29" s="65">
        <f t="shared" si="3"/>
        <v>26.5318144</v>
      </c>
      <c r="N29" s="55"/>
      <c r="O29" s="65">
        <f t="shared" si="4"/>
        <v>8.3992929715869</v>
      </c>
      <c r="P29" s="55"/>
      <c r="Q29" s="61">
        <f t="shared" si="5"/>
        <v>16.052184050101122</v>
      </c>
    </row>
    <row r="30" spans="1:17" ht="15">
      <c r="A30" s="55">
        <v>18</v>
      </c>
      <c r="B30" s="55"/>
      <c r="C30" s="55">
        <v>2036</v>
      </c>
      <c r="D30" s="55"/>
      <c r="E30" s="64">
        <f t="shared" si="0"/>
        <v>18480</v>
      </c>
      <c r="F30" s="55"/>
      <c r="G30" s="55">
        <v>231</v>
      </c>
      <c r="H30" s="55"/>
      <c r="I30" s="58">
        <f t="shared" si="1"/>
        <v>300300</v>
      </c>
      <c r="J30" s="55"/>
      <c r="K30" s="109">
        <f t="shared" si="2"/>
        <v>0.0003003</v>
      </c>
      <c r="L30" s="55"/>
      <c r="M30" s="65">
        <f t="shared" si="3"/>
        <v>27.3609336</v>
      </c>
      <c r="N30" s="55"/>
      <c r="O30" s="65">
        <f t="shared" si="4"/>
        <v>8.095112969111206</v>
      </c>
      <c r="P30" s="55"/>
      <c r="Q30" s="61">
        <f t="shared" si="5"/>
        <v>16.071664855987166</v>
      </c>
    </row>
    <row r="31" spans="1:17" ht="15">
      <c r="A31" s="55">
        <v>19</v>
      </c>
      <c r="B31" s="55"/>
      <c r="C31" s="55">
        <v>2037</v>
      </c>
      <c r="D31" s="55"/>
      <c r="E31" s="64">
        <f t="shared" si="0"/>
        <v>18480</v>
      </c>
      <c r="F31" s="55"/>
      <c r="G31" s="55">
        <v>231</v>
      </c>
      <c r="H31" s="55"/>
      <c r="I31" s="58">
        <f t="shared" si="1"/>
        <v>300300</v>
      </c>
      <c r="J31" s="55"/>
      <c r="K31" s="109">
        <f t="shared" si="2"/>
        <v>0.0003003</v>
      </c>
      <c r="L31" s="55"/>
      <c r="M31" s="65">
        <f t="shared" si="3"/>
        <v>27.3609336</v>
      </c>
      <c r="N31" s="55"/>
      <c r="O31" s="65">
        <f t="shared" si="4"/>
        <v>7.565526139356267</v>
      </c>
      <c r="P31" s="55"/>
      <c r="Q31" s="61">
        <f t="shared" si="5"/>
        <v>15.6035581126089</v>
      </c>
    </row>
    <row r="32" spans="1:17" ht="15">
      <c r="A32" s="55">
        <v>20</v>
      </c>
      <c r="B32" s="55"/>
      <c r="C32" s="55">
        <v>2038</v>
      </c>
      <c r="D32" s="55"/>
      <c r="E32" s="116">
        <f t="shared" si="0"/>
        <v>18480</v>
      </c>
      <c r="F32" s="63"/>
      <c r="G32" s="63">
        <v>231</v>
      </c>
      <c r="H32" s="63"/>
      <c r="I32" s="66">
        <f t="shared" si="1"/>
        <v>300300</v>
      </c>
      <c r="J32" s="63"/>
      <c r="K32" s="110">
        <f t="shared" si="2"/>
        <v>0.0003003</v>
      </c>
      <c r="L32" s="63"/>
      <c r="M32" s="67">
        <f t="shared" si="3"/>
        <v>27.3609336</v>
      </c>
      <c r="N32" s="63"/>
      <c r="O32" s="67">
        <f t="shared" si="4"/>
        <v>7.070585176968474</v>
      </c>
      <c r="P32" s="63"/>
      <c r="Q32" s="62">
        <f t="shared" si="5"/>
        <v>15.149085546222233</v>
      </c>
    </row>
    <row r="33" spans="1:17" ht="15">
      <c r="A33" s="55"/>
      <c r="B33" s="55"/>
      <c r="C33" s="55"/>
      <c r="D33" s="55"/>
      <c r="E33" s="64"/>
      <c r="F33" s="55"/>
      <c r="G33" s="55"/>
      <c r="H33" s="55"/>
      <c r="I33" s="58"/>
      <c r="J33" s="55"/>
      <c r="K33" s="55"/>
      <c r="L33" s="55"/>
      <c r="M33" s="65"/>
      <c r="N33" s="55"/>
      <c r="O33" s="65"/>
      <c r="P33" s="55"/>
      <c r="Q33" s="61"/>
    </row>
    <row r="34" spans="1:17" ht="15.75" thickBot="1">
      <c r="A34" s="55"/>
      <c r="B34" s="55"/>
      <c r="C34" s="55"/>
      <c r="D34" s="55"/>
      <c r="E34" s="64"/>
      <c r="F34" s="55"/>
      <c r="G34" s="55"/>
      <c r="H34" s="55"/>
      <c r="I34" s="58"/>
      <c r="J34" s="55"/>
      <c r="K34" s="55"/>
      <c r="L34" s="55"/>
      <c r="M34" s="111">
        <f>SUM(M13:M32)</f>
        <v>449.73794319999996</v>
      </c>
      <c r="N34" s="111">
        <f>SUM(N13:N32)</f>
        <v>0</v>
      </c>
      <c r="O34" s="111">
        <f>SUM(O13:O32)</f>
        <v>217.02951687239565</v>
      </c>
      <c r="P34" s="111">
        <f>SUM(P13:P32)</f>
        <v>0</v>
      </c>
      <c r="Q34" s="111">
        <f>SUM(Q13:Q32)</f>
        <v>321.81090012660576</v>
      </c>
    </row>
    <row r="35" spans="3:5" ht="15.75" thickTop="1">
      <c r="C35" s="35" t="s">
        <v>25</v>
      </c>
      <c r="D35" s="10"/>
      <c r="E35" s="36"/>
    </row>
    <row r="36" spans="3:17" ht="28.5" customHeight="1">
      <c r="C36" s="190" t="s">
        <v>26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ht="15">
      <c r="C37" s="11" t="s">
        <v>27</v>
      </c>
    </row>
    <row r="38" spans="3:17" ht="30" customHeight="1">
      <c r="C38" s="190" t="s">
        <v>106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ht="15">
      <c r="C39" s="11" t="s">
        <v>138</v>
      </c>
    </row>
    <row r="40" ht="15">
      <c r="C40" s="11" t="s">
        <v>9</v>
      </c>
    </row>
    <row r="41" ht="15">
      <c r="C41" s="11" t="s">
        <v>28</v>
      </c>
    </row>
    <row r="42" spans="3:17" ht="30" customHeight="1">
      <c r="C42" s="190" t="s">
        <v>29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</sheetData>
  <sheetProtection/>
  <mergeCells count="12">
    <mergeCell ref="C42:Q42"/>
    <mergeCell ref="O7:O11"/>
    <mergeCell ref="Q7:Q11"/>
    <mergeCell ref="I8:I11"/>
    <mergeCell ref="A10:A11"/>
    <mergeCell ref="C10:C11"/>
    <mergeCell ref="E8:E11"/>
    <mergeCell ref="G8:G11"/>
    <mergeCell ref="C38:Q38"/>
    <mergeCell ref="M6:M11"/>
    <mergeCell ref="K5:K11"/>
    <mergeCell ref="C36:Q3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J39"/>
    </sheetView>
  </sheetViews>
  <sheetFormatPr defaultColWidth="9.140625" defaultRowHeight="15"/>
  <cols>
    <col min="2" max="2" width="3.8515625" style="0" customWidth="1"/>
    <col min="4" max="4" width="5.140625" style="0" customWidth="1"/>
    <col min="6" max="6" width="11.8515625" style="14" customWidth="1"/>
    <col min="7" max="7" width="6.28125" style="0" customWidth="1"/>
    <col min="8" max="8" width="11.421875" style="14" customWidth="1"/>
    <col min="9" max="9" width="5.421875" style="0" customWidth="1"/>
    <col min="10" max="10" width="11.28125" style="14" customWidth="1"/>
    <col min="11" max="11" width="3.140625" style="0" customWidth="1"/>
  </cols>
  <sheetData>
    <row r="1" ht="23.25">
      <c r="A1" s="2" t="s">
        <v>0</v>
      </c>
    </row>
    <row r="2" ht="15">
      <c r="A2" t="s">
        <v>137</v>
      </c>
    </row>
    <row r="3" ht="15">
      <c r="A3" s="1" t="s">
        <v>11</v>
      </c>
    </row>
    <row r="5" spans="1:10" ht="15">
      <c r="A5" s="3"/>
      <c r="B5" s="4"/>
      <c r="C5" s="4"/>
      <c r="D5" s="4"/>
      <c r="E5" s="4"/>
      <c r="F5" s="15"/>
      <c r="G5" s="4"/>
      <c r="H5" s="175" t="s">
        <v>18</v>
      </c>
      <c r="I5" s="5"/>
      <c r="J5" s="175" t="s">
        <v>17</v>
      </c>
    </row>
    <row r="6" spans="1:10" ht="15">
      <c r="A6" s="4"/>
      <c r="B6" s="4"/>
      <c r="C6" s="4"/>
      <c r="D6" s="4"/>
      <c r="E6" s="4"/>
      <c r="F6" s="175" t="s">
        <v>13</v>
      </c>
      <c r="G6" s="6"/>
      <c r="H6" s="175"/>
      <c r="I6" s="5"/>
      <c r="J6" s="175"/>
    </row>
    <row r="7" spans="1:10" ht="15">
      <c r="A7" s="4"/>
      <c r="B7" s="4"/>
      <c r="C7" s="4"/>
      <c r="D7" s="4"/>
      <c r="E7" s="4"/>
      <c r="F7" s="175"/>
      <c r="G7" s="6"/>
      <c r="H7" s="175"/>
      <c r="I7" s="5"/>
      <c r="J7" s="175"/>
    </row>
    <row r="8" spans="1:10" ht="15">
      <c r="A8" s="168" t="s">
        <v>12</v>
      </c>
      <c r="B8" s="4"/>
      <c r="C8" s="168" t="s">
        <v>3</v>
      </c>
      <c r="D8" s="4"/>
      <c r="E8" s="4"/>
      <c r="F8" s="175"/>
      <c r="G8" s="6"/>
      <c r="H8" s="175"/>
      <c r="I8" s="5"/>
      <c r="J8" s="175"/>
    </row>
    <row r="9" spans="1:10" ht="15.75" thickBot="1">
      <c r="A9" s="169"/>
      <c r="B9" s="7"/>
      <c r="C9" s="169"/>
      <c r="D9" s="7"/>
      <c r="E9" s="7"/>
      <c r="F9" s="176"/>
      <c r="G9" s="8"/>
      <c r="H9" s="176"/>
      <c r="I9" s="9"/>
      <c r="J9" s="176"/>
    </row>
    <row r="11" spans="1:10" ht="15">
      <c r="A11" s="55">
        <v>1</v>
      </c>
      <c r="B11" s="55"/>
      <c r="C11" s="55">
        <v>2019</v>
      </c>
      <c r="D11" s="55"/>
      <c r="E11" s="55"/>
      <c r="F11" s="68">
        <v>39000</v>
      </c>
      <c r="G11" s="55"/>
      <c r="H11" s="68">
        <f>SUM(F11/(1.07)^A11)</f>
        <v>36448.59813084112</v>
      </c>
      <c r="I11" s="55"/>
      <c r="J11" s="68">
        <f>SUM(F11/(1.03)^A11)</f>
        <v>37864.07766990291</v>
      </c>
    </row>
    <row r="12" spans="1:10" ht="15">
      <c r="A12" s="55">
        <v>2</v>
      </c>
      <c r="B12" s="55"/>
      <c r="C12" s="55">
        <v>2020</v>
      </c>
      <c r="D12" s="55"/>
      <c r="E12" s="55"/>
      <c r="F12" s="68">
        <v>41000</v>
      </c>
      <c r="G12" s="55"/>
      <c r="H12" s="68">
        <f>SUM(F12/(1.07)^A12)</f>
        <v>35810.987859201676</v>
      </c>
      <c r="I12" s="55"/>
      <c r="J12" s="68">
        <f aca="true" t="shared" si="0" ref="J12:J30">SUM(F12/(1.03)^A12)</f>
        <v>38646.43227448393</v>
      </c>
    </row>
    <row r="13" spans="1:10" ht="15">
      <c r="A13" s="55">
        <v>3</v>
      </c>
      <c r="B13" s="55"/>
      <c r="C13" s="55">
        <v>2021</v>
      </c>
      <c r="D13" s="55"/>
      <c r="E13" s="55"/>
      <c r="F13" s="68">
        <v>44000</v>
      </c>
      <c r="G13" s="55"/>
      <c r="H13" s="68">
        <f aca="true" t="shared" si="1" ref="H13:H30">SUM(F13/(1.07)^A13)</f>
        <v>35917.106583197485</v>
      </c>
      <c r="I13" s="55"/>
      <c r="J13" s="68">
        <f t="shared" si="0"/>
        <v>40266.23301153902</v>
      </c>
    </row>
    <row r="14" spans="1:10" ht="15">
      <c r="A14" s="55">
        <v>4</v>
      </c>
      <c r="B14" s="55"/>
      <c r="C14" s="55">
        <v>2022</v>
      </c>
      <c r="D14" s="55"/>
      <c r="E14" s="55"/>
      <c r="F14" s="68">
        <v>46000</v>
      </c>
      <c r="G14" s="55"/>
      <c r="H14" s="68">
        <f t="shared" si="1"/>
        <v>35093.17975418616</v>
      </c>
      <c r="I14" s="55"/>
      <c r="J14" s="68">
        <f t="shared" si="0"/>
        <v>40870.404204121696</v>
      </c>
    </row>
    <row r="15" spans="1:10" ht="15">
      <c r="A15" s="55">
        <v>5</v>
      </c>
      <c r="B15" s="55"/>
      <c r="C15" s="55">
        <v>2023</v>
      </c>
      <c r="D15" s="55"/>
      <c r="E15" s="55"/>
      <c r="F15" s="68">
        <v>48000</v>
      </c>
      <c r="G15" s="55"/>
      <c r="H15" s="68">
        <f t="shared" si="1"/>
        <v>34223.33661521608</v>
      </c>
      <c r="I15" s="55"/>
      <c r="J15" s="68">
        <f t="shared" si="0"/>
        <v>41405.221650439875</v>
      </c>
    </row>
    <row r="16" spans="1:10" ht="15">
      <c r="A16" s="55">
        <v>6</v>
      </c>
      <c r="B16" s="55"/>
      <c r="C16" s="55">
        <v>2024</v>
      </c>
      <c r="D16" s="55"/>
      <c r="E16" s="55"/>
      <c r="F16" s="68">
        <v>51000</v>
      </c>
      <c r="G16" s="55"/>
      <c r="H16" s="68">
        <f t="shared" si="1"/>
        <v>33983.45341464214</v>
      </c>
      <c r="I16" s="55"/>
      <c r="J16" s="68">
        <f t="shared" si="0"/>
        <v>42711.69709086638</v>
      </c>
    </row>
    <row r="17" spans="1:10" ht="15">
      <c r="A17" s="55">
        <v>7</v>
      </c>
      <c r="B17" s="55"/>
      <c r="C17" s="55">
        <v>2025</v>
      </c>
      <c r="D17" s="55"/>
      <c r="E17" s="55"/>
      <c r="F17" s="68">
        <v>51000</v>
      </c>
      <c r="G17" s="55"/>
      <c r="H17" s="68">
        <f t="shared" si="1"/>
        <v>31760.236836114145</v>
      </c>
      <c r="I17" s="55"/>
      <c r="J17" s="68">
        <f t="shared" si="0"/>
        <v>41467.66707851104</v>
      </c>
    </row>
    <row r="18" spans="1:10" ht="15">
      <c r="A18" s="55">
        <v>8</v>
      </c>
      <c r="B18" s="55"/>
      <c r="C18" s="55">
        <v>2026</v>
      </c>
      <c r="D18" s="55"/>
      <c r="E18" s="55"/>
      <c r="F18" s="68">
        <v>51000</v>
      </c>
      <c r="G18" s="55"/>
      <c r="H18" s="68">
        <f t="shared" si="1"/>
        <v>29682.46433281696</v>
      </c>
      <c r="I18" s="55"/>
      <c r="J18" s="68">
        <f t="shared" si="0"/>
        <v>40259.87095001072</v>
      </c>
    </row>
    <row r="19" spans="1:10" ht="15">
      <c r="A19" s="55">
        <v>9</v>
      </c>
      <c r="B19" s="55"/>
      <c r="C19" s="55">
        <v>2027</v>
      </c>
      <c r="D19" s="55"/>
      <c r="E19" s="55"/>
      <c r="F19" s="68">
        <v>51000</v>
      </c>
      <c r="G19" s="55"/>
      <c r="H19" s="68">
        <f t="shared" si="1"/>
        <v>27740.620871791547</v>
      </c>
      <c r="I19" s="55"/>
      <c r="J19" s="68">
        <f t="shared" si="0"/>
        <v>39087.25334952497</v>
      </c>
    </row>
    <row r="20" spans="1:10" ht="15">
      <c r="A20" s="55">
        <v>10</v>
      </c>
      <c r="B20" s="55"/>
      <c r="C20" s="55">
        <v>2028</v>
      </c>
      <c r="D20" s="55"/>
      <c r="E20" s="55"/>
      <c r="F20" s="68">
        <v>51000</v>
      </c>
      <c r="G20" s="55"/>
      <c r="H20" s="68">
        <f t="shared" si="1"/>
        <v>25925.81389887061</v>
      </c>
      <c r="I20" s="55"/>
      <c r="J20" s="68">
        <f t="shared" si="0"/>
        <v>37948.78965973298</v>
      </c>
    </row>
    <row r="21" spans="1:10" ht="15">
      <c r="A21" s="55">
        <v>11</v>
      </c>
      <c r="B21" s="55"/>
      <c r="C21" s="55">
        <v>2029</v>
      </c>
      <c r="D21" s="55"/>
      <c r="E21" s="55"/>
      <c r="F21" s="68">
        <v>59000</v>
      </c>
      <c r="G21" s="55"/>
      <c r="H21" s="68">
        <f t="shared" si="1"/>
        <v>28030.47498686761</v>
      </c>
      <c r="I21" s="55"/>
      <c r="J21" s="68">
        <f t="shared" si="0"/>
        <v>42622.855319326976</v>
      </c>
    </row>
    <row r="22" spans="1:10" ht="15">
      <c r="A22" s="55">
        <v>12</v>
      </c>
      <c r="B22" s="55"/>
      <c r="C22" s="55">
        <v>2030</v>
      </c>
      <c r="D22" s="55"/>
      <c r="E22" s="55"/>
      <c r="F22" s="68">
        <v>59000</v>
      </c>
      <c r="G22" s="55"/>
      <c r="H22" s="68">
        <f t="shared" si="1"/>
        <v>26196.70559520338</v>
      </c>
      <c r="I22" s="55"/>
      <c r="J22" s="68">
        <f t="shared" si="0"/>
        <v>41381.41293138542</v>
      </c>
    </row>
    <row r="23" spans="1:10" ht="15">
      <c r="A23" s="55">
        <v>13</v>
      </c>
      <c r="B23" s="55"/>
      <c r="C23" s="55">
        <v>2031</v>
      </c>
      <c r="D23" s="55"/>
      <c r="E23" s="55"/>
      <c r="F23" s="68">
        <v>59000</v>
      </c>
      <c r="G23" s="55"/>
      <c r="H23" s="68">
        <f t="shared" si="1"/>
        <v>24482.90242542372</v>
      </c>
      <c r="I23" s="55"/>
      <c r="J23" s="68">
        <f t="shared" si="0"/>
        <v>40176.12905959749</v>
      </c>
    </row>
    <row r="24" spans="1:10" ht="15">
      <c r="A24" s="55">
        <v>14</v>
      </c>
      <c r="B24" s="55"/>
      <c r="C24" s="55">
        <v>2032</v>
      </c>
      <c r="D24" s="55"/>
      <c r="E24" s="55"/>
      <c r="F24" s="68">
        <v>59000</v>
      </c>
      <c r="G24" s="55"/>
      <c r="H24" s="68">
        <f t="shared" si="1"/>
        <v>22881.21722002217</v>
      </c>
      <c r="I24" s="55"/>
      <c r="J24" s="68">
        <f t="shared" si="0"/>
        <v>39005.95054329854</v>
      </c>
    </row>
    <row r="25" spans="1:10" ht="15">
      <c r="A25" s="55">
        <v>15</v>
      </c>
      <c r="B25" s="55"/>
      <c r="C25" s="55">
        <v>2033</v>
      </c>
      <c r="D25" s="55"/>
      <c r="E25" s="55"/>
      <c r="F25" s="68">
        <v>59000</v>
      </c>
      <c r="G25" s="55"/>
      <c r="H25" s="68">
        <f t="shared" si="1"/>
        <v>21384.315158899222</v>
      </c>
      <c r="I25" s="55"/>
      <c r="J25" s="68">
        <f t="shared" si="0"/>
        <v>37869.854896406345</v>
      </c>
    </row>
    <row r="26" spans="1:10" ht="15">
      <c r="A26" s="55">
        <v>16</v>
      </c>
      <c r="B26" s="55"/>
      <c r="C26" s="55">
        <v>2034</v>
      </c>
      <c r="D26" s="55"/>
      <c r="E26" s="55"/>
      <c r="F26" s="68">
        <v>67000</v>
      </c>
      <c r="G26" s="55"/>
      <c r="H26" s="68">
        <f t="shared" si="1"/>
        <v>22695.218052372056</v>
      </c>
      <c r="I26" s="55"/>
      <c r="J26" s="68">
        <f t="shared" si="0"/>
        <v>41752.184927747665</v>
      </c>
    </row>
    <row r="27" spans="1:10" ht="15">
      <c r="A27" s="55">
        <v>17</v>
      </c>
      <c r="B27" s="55"/>
      <c r="C27" s="55">
        <v>2035</v>
      </c>
      <c r="D27" s="55"/>
      <c r="E27" s="55"/>
      <c r="F27" s="68">
        <v>67000</v>
      </c>
      <c r="G27" s="55"/>
      <c r="H27" s="68">
        <f t="shared" si="1"/>
        <v>21210.48416109538</v>
      </c>
      <c r="I27" s="55"/>
      <c r="J27" s="68">
        <f t="shared" si="0"/>
        <v>40536.10187159967</v>
      </c>
    </row>
    <row r="28" spans="1:10" ht="15">
      <c r="A28" s="55">
        <v>18</v>
      </c>
      <c r="B28" s="55"/>
      <c r="C28" s="55">
        <v>2036</v>
      </c>
      <c r="D28" s="55"/>
      <c r="E28" s="55"/>
      <c r="F28" s="68">
        <v>67000</v>
      </c>
      <c r="G28" s="55"/>
      <c r="H28" s="68">
        <f t="shared" si="1"/>
        <v>19822.882393547083</v>
      </c>
      <c r="I28" s="55"/>
      <c r="J28" s="68">
        <f t="shared" si="0"/>
        <v>39355.438710290946</v>
      </c>
    </row>
    <row r="29" spans="1:10" ht="15">
      <c r="A29" s="55">
        <v>19</v>
      </c>
      <c r="B29" s="55"/>
      <c r="C29" s="55">
        <v>2037</v>
      </c>
      <c r="D29" s="55"/>
      <c r="E29" s="55"/>
      <c r="F29" s="68">
        <v>67000</v>
      </c>
      <c r="G29" s="55"/>
      <c r="H29" s="68">
        <f t="shared" si="1"/>
        <v>18526.058311726247</v>
      </c>
      <c r="I29" s="55"/>
      <c r="J29" s="68">
        <f t="shared" si="0"/>
        <v>38209.16379639898</v>
      </c>
    </row>
    <row r="30" spans="1:10" ht="15">
      <c r="A30" s="55">
        <v>20</v>
      </c>
      <c r="B30" s="55"/>
      <c r="C30" s="55">
        <v>2038</v>
      </c>
      <c r="D30" s="55"/>
      <c r="E30" s="55"/>
      <c r="F30" s="69">
        <v>67000</v>
      </c>
      <c r="G30" s="63"/>
      <c r="H30" s="69">
        <f t="shared" si="1"/>
        <v>17314.073188529204</v>
      </c>
      <c r="I30" s="63"/>
      <c r="J30" s="69">
        <f t="shared" si="0"/>
        <v>37096.27553048444</v>
      </c>
    </row>
    <row r="31" spans="1:10" ht="15">
      <c r="A31" s="55"/>
      <c r="B31" s="55"/>
      <c r="C31" s="55"/>
      <c r="D31" s="55"/>
      <c r="E31" s="55"/>
      <c r="F31" s="68"/>
      <c r="G31" s="55"/>
      <c r="H31" s="68"/>
      <c r="I31" s="55"/>
      <c r="J31" s="68"/>
    </row>
    <row r="32" spans="1:10" ht="15.75" thickBot="1">
      <c r="A32" s="55"/>
      <c r="B32" s="55"/>
      <c r="C32" s="55"/>
      <c r="D32" s="55"/>
      <c r="E32" s="55"/>
      <c r="F32" s="111">
        <f>SUM(F11:F30)</f>
        <v>1103000</v>
      </c>
      <c r="G32" s="70"/>
      <c r="H32" s="111">
        <f>SUM(H11:H30)</f>
        <v>549130.1297905641</v>
      </c>
      <c r="I32" s="70"/>
      <c r="J32" s="111">
        <f>SUM(J11:J30)</f>
        <v>798533.01452567</v>
      </c>
    </row>
    <row r="33" ht="15.75" thickTop="1"/>
    <row r="35" spans="3:4" ht="15">
      <c r="C35" s="193" t="s">
        <v>7</v>
      </c>
      <c r="D35" s="193"/>
    </row>
    <row r="36" ht="15">
      <c r="C36" s="11" t="s">
        <v>14</v>
      </c>
    </row>
    <row r="37" ht="15">
      <c r="C37" s="11" t="s">
        <v>15</v>
      </c>
    </row>
    <row r="38" spans="3:10" ht="47.25" customHeight="1">
      <c r="C38" s="190" t="s">
        <v>135</v>
      </c>
      <c r="D38" s="190"/>
      <c r="E38" s="190"/>
      <c r="F38" s="190"/>
      <c r="G38" s="190"/>
      <c r="H38" s="190"/>
      <c r="I38" s="190"/>
      <c r="J38" s="190"/>
    </row>
    <row r="39" spans="3:10" ht="31.5" customHeight="1">
      <c r="C39" s="190" t="s">
        <v>16</v>
      </c>
      <c r="D39" s="190"/>
      <c r="E39" s="190"/>
      <c r="F39" s="190"/>
      <c r="G39" s="190"/>
      <c r="H39" s="190"/>
      <c r="I39" s="190"/>
      <c r="J39" s="190"/>
    </row>
  </sheetData>
  <sheetProtection/>
  <mergeCells count="8">
    <mergeCell ref="C38:J38"/>
    <mergeCell ref="C39:J39"/>
    <mergeCell ref="H5:H9"/>
    <mergeCell ref="J5:J9"/>
    <mergeCell ref="F6:F9"/>
    <mergeCell ref="A8:A9"/>
    <mergeCell ref="C8:C9"/>
    <mergeCell ref="C35:D3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10.8515625" style="0" bestFit="1" customWidth="1"/>
    <col min="4" max="4" width="2.00390625" style="0" customWidth="1"/>
    <col min="6" max="6" width="10.57421875" style="0" customWidth="1"/>
    <col min="7" max="7" width="5.421875" style="0" customWidth="1"/>
    <col min="8" max="8" width="11.8515625" style="37" customWidth="1"/>
    <col min="9" max="9" width="5.8515625" style="0" customWidth="1"/>
    <col min="10" max="10" width="10.140625" style="0" customWidth="1"/>
  </cols>
  <sheetData>
    <row r="1" ht="23.25">
      <c r="A1" s="2" t="s">
        <v>0</v>
      </c>
    </row>
    <row r="2" ht="15">
      <c r="A2" t="s">
        <v>137</v>
      </c>
    </row>
    <row r="3" ht="15">
      <c r="A3" s="1" t="s">
        <v>1</v>
      </c>
    </row>
    <row r="6" spans="1:10" ht="15">
      <c r="A6" s="3"/>
      <c r="B6" s="4"/>
      <c r="C6" s="4"/>
      <c r="D6" s="4"/>
      <c r="E6" s="4"/>
      <c r="F6" s="4"/>
      <c r="G6" s="4"/>
      <c r="H6" s="177" t="s">
        <v>5</v>
      </c>
      <c r="I6" s="5"/>
      <c r="J6" s="168" t="s">
        <v>6</v>
      </c>
    </row>
    <row r="7" spans="1:10" ht="15">
      <c r="A7" s="4"/>
      <c r="B7" s="4"/>
      <c r="C7" s="4"/>
      <c r="D7" s="4"/>
      <c r="E7" s="4"/>
      <c r="F7" s="168" t="s">
        <v>4</v>
      </c>
      <c r="G7" s="6"/>
      <c r="H7" s="177"/>
      <c r="I7" s="5"/>
      <c r="J7" s="168"/>
    </row>
    <row r="8" spans="1:10" ht="15">
      <c r="A8" s="4"/>
      <c r="B8" s="4"/>
      <c r="C8" s="4"/>
      <c r="D8" s="4"/>
      <c r="E8" s="4"/>
      <c r="F8" s="168"/>
      <c r="G8" s="6"/>
      <c r="H8" s="177"/>
      <c r="I8" s="5"/>
      <c r="J8" s="168"/>
    </row>
    <row r="9" spans="1:10" ht="15">
      <c r="A9" s="168" t="s">
        <v>2</v>
      </c>
      <c r="B9" s="4"/>
      <c r="C9" s="168" t="s">
        <v>3</v>
      </c>
      <c r="D9" s="4"/>
      <c r="E9" s="4"/>
      <c r="F9" s="168"/>
      <c r="G9" s="6"/>
      <c r="H9" s="177"/>
      <c r="I9" s="5"/>
      <c r="J9" s="168"/>
    </row>
    <row r="10" spans="1:10" ht="15.75" thickBot="1">
      <c r="A10" s="169"/>
      <c r="B10" s="7"/>
      <c r="C10" s="169"/>
      <c r="D10" s="7"/>
      <c r="E10" s="7"/>
      <c r="F10" s="169"/>
      <c r="G10" s="8"/>
      <c r="H10" s="174"/>
      <c r="I10" s="9"/>
      <c r="J10" s="169"/>
    </row>
    <row r="11" spans="1:10" ht="15">
      <c r="A11" s="3"/>
      <c r="B11" s="3"/>
      <c r="C11" s="3"/>
      <c r="D11" s="3"/>
      <c r="E11" s="3"/>
      <c r="F11" s="3"/>
      <c r="G11" s="3"/>
      <c r="H11" s="59"/>
      <c r="I11" s="3"/>
      <c r="J11" s="3"/>
    </row>
    <row r="12" spans="1:13" ht="15.75" thickBot="1">
      <c r="A12" s="79">
        <v>20</v>
      </c>
      <c r="B12" s="79"/>
      <c r="C12" s="79">
        <v>2038</v>
      </c>
      <c r="D12" s="3"/>
      <c r="E12" s="3"/>
      <c r="F12" s="112">
        <v>9000000</v>
      </c>
      <c r="G12" s="112"/>
      <c r="H12" s="89">
        <f>SUM(F12/(1.07)^20)</f>
        <v>2325771.025324818</v>
      </c>
      <c r="I12" s="112"/>
      <c r="J12" s="112">
        <f>SUM(F12/(1.03)^20)</f>
        <v>4983081.787677014</v>
      </c>
      <c r="M12" s="113"/>
    </row>
    <row r="13" spans="1:10" ht="15">
      <c r="A13" s="3"/>
      <c r="B13" s="3"/>
      <c r="C13" s="3"/>
      <c r="D13" s="3"/>
      <c r="E13" s="3"/>
      <c r="F13" s="81"/>
      <c r="G13" s="81"/>
      <c r="H13" s="72"/>
      <c r="I13" s="81"/>
      <c r="J13" s="81"/>
    </row>
    <row r="14" spans="1:10" ht="15.75" thickBot="1">
      <c r="A14" s="3"/>
      <c r="B14" s="3"/>
      <c r="C14" s="3"/>
      <c r="D14" s="3"/>
      <c r="E14" s="3"/>
      <c r="F14" s="97">
        <v>9000000</v>
      </c>
      <c r="G14" s="97"/>
      <c r="H14" s="88">
        <f>SUM(F14/(1.07)^20)</f>
        <v>2325771.025324818</v>
      </c>
      <c r="I14" s="97"/>
      <c r="J14" s="97">
        <v>4983081.787677014</v>
      </c>
    </row>
    <row r="15" spans="1:10" ht="15.75" thickTop="1">
      <c r="A15" s="3"/>
      <c r="B15" s="3"/>
      <c r="C15" s="3"/>
      <c r="D15" s="3"/>
      <c r="E15" s="3"/>
      <c r="F15" s="3"/>
      <c r="G15" s="3"/>
      <c r="H15" s="59"/>
      <c r="I15" s="3"/>
      <c r="J15" s="3"/>
    </row>
    <row r="17" spans="2:4" ht="15">
      <c r="B17" s="10" t="s">
        <v>7</v>
      </c>
      <c r="C17" s="10"/>
      <c r="D17" s="10"/>
    </row>
    <row r="18" ht="15">
      <c r="C18" s="11" t="s">
        <v>8</v>
      </c>
    </row>
    <row r="19" ht="15">
      <c r="C19" s="11" t="s">
        <v>9</v>
      </c>
    </row>
    <row r="20" ht="15">
      <c r="C20" s="11" t="s">
        <v>110</v>
      </c>
    </row>
    <row r="21" spans="3:10" ht="30" customHeight="1">
      <c r="C21" s="190" t="s">
        <v>10</v>
      </c>
      <c r="D21" s="190"/>
      <c r="E21" s="190"/>
      <c r="F21" s="190"/>
      <c r="G21" s="190"/>
      <c r="H21" s="190"/>
      <c r="I21" s="190"/>
      <c r="J21" s="190"/>
    </row>
  </sheetData>
  <sheetProtection/>
  <mergeCells count="6">
    <mergeCell ref="F7:F10"/>
    <mergeCell ref="H6:H10"/>
    <mergeCell ref="J6:J10"/>
    <mergeCell ref="A9:A10"/>
    <mergeCell ref="C9:C10"/>
    <mergeCell ref="C21:J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120" zoomScaleNormal="120" zoomScalePageLayoutView="0" workbookViewId="0" topLeftCell="A1">
      <selection activeCell="K16" sqref="K16"/>
    </sheetView>
  </sheetViews>
  <sheetFormatPr defaultColWidth="9.140625" defaultRowHeight="15"/>
  <cols>
    <col min="1" max="1" width="3.421875" style="0" customWidth="1"/>
    <col min="2" max="2" width="2.28125" style="0" customWidth="1"/>
    <col min="5" max="5" width="9.140625" style="0" customWidth="1"/>
    <col min="7" max="7" width="16.421875" style="0" customWidth="1"/>
    <col min="8" max="8" width="10.8515625" style="12" customWidth="1"/>
    <col min="9" max="9" width="0.42578125" style="0" customWidth="1"/>
    <col min="10" max="10" width="10.7109375" style="133" customWidth="1"/>
    <col min="11" max="11" width="2.00390625" style="12" customWidth="1"/>
    <col min="12" max="12" width="11.140625" style="133" customWidth="1"/>
    <col min="13" max="13" width="1.1484375" style="0" customWidth="1"/>
    <col min="14" max="14" width="11.00390625" style="133" customWidth="1"/>
  </cols>
  <sheetData>
    <row r="1" ht="23.25">
      <c r="A1" s="2" t="s">
        <v>0</v>
      </c>
    </row>
    <row r="2" ht="15">
      <c r="A2" t="s">
        <v>137</v>
      </c>
    </row>
    <row r="3" ht="15">
      <c r="A3" s="1" t="s">
        <v>39</v>
      </c>
    </row>
    <row r="4" spans="8:14" s="3" customFormat="1" ht="12">
      <c r="H4" s="166" t="s">
        <v>41</v>
      </c>
      <c r="I4" s="166"/>
      <c r="J4" s="166"/>
      <c r="K4" s="78"/>
      <c r="L4" s="166" t="s">
        <v>42</v>
      </c>
      <c r="M4" s="166"/>
      <c r="N4" s="166"/>
    </row>
    <row r="5" spans="8:14" s="3" customFormat="1" ht="12">
      <c r="H5" s="45"/>
      <c r="J5" s="51"/>
      <c r="K5" s="45"/>
      <c r="L5" s="51"/>
      <c r="N5" s="51"/>
    </row>
    <row r="6" spans="8:14" s="3" customFormat="1" ht="12">
      <c r="H6" s="45"/>
      <c r="J6" s="51"/>
      <c r="K6" s="45"/>
      <c r="L6" s="51"/>
      <c r="N6" s="51"/>
    </row>
    <row r="7" spans="2:14" s="3" customFormat="1" ht="12">
      <c r="B7" s="3" t="s">
        <v>48</v>
      </c>
      <c r="H7" s="45">
        <v>82337813</v>
      </c>
      <c r="J7" s="51"/>
      <c r="K7" s="45"/>
      <c r="L7" s="51">
        <v>122093822</v>
      </c>
      <c r="N7" s="51"/>
    </row>
    <row r="8" spans="2:14" s="3" customFormat="1" ht="12">
      <c r="B8" s="3" t="s">
        <v>53</v>
      </c>
      <c r="H8" s="46">
        <v>-4982924</v>
      </c>
      <c r="I8" s="125"/>
      <c r="J8" s="49"/>
      <c r="K8" s="45"/>
      <c r="L8" s="49">
        <v>-7388880</v>
      </c>
      <c r="M8" s="47"/>
      <c r="N8" s="49"/>
    </row>
    <row r="9" spans="1:14" s="3" customFormat="1" ht="12">
      <c r="A9" s="3">
        <v>1</v>
      </c>
      <c r="C9" s="3" t="s">
        <v>98</v>
      </c>
      <c r="H9" s="45"/>
      <c r="J9" s="51">
        <f>SUM(H7:H8)</f>
        <v>77354889</v>
      </c>
      <c r="K9" s="45"/>
      <c r="L9" s="51"/>
      <c r="N9" s="51">
        <f>SUM(L7:L8)</f>
        <v>114704942</v>
      </c>
    </row>
    <row r="10" spans="8:14" s="3" customFormat="1" ht="12">
      <c r="H10" s="45"/>
      <c r="J10" s="51"/>
      <c r="K10" s="45"/>
      <c r="L10" s="51"/>
      <c r="N10" s="51"/>
    </row>
    <row r="11" spans="2:14" s="3" customFormat="1" ht="12">
      <c r="B11" s="3" t="s">
        <v>57</v>
      </c>
      <c r="H11" s="45">
        <v>110913657</v>
      </c>
      <c r="J11" s="51"/>
      <c r="K11" s="45"/>
      <c r="L11" s="51">
        <v>164467232</v>
      </c>
      <c r="N11" s="51"/>
    </row>
    <row r="12" spans="2:14" s="3" customFormat="1" ht="12">
      <c r="B12" s="3" t="s">
        <v>60</v>
      </c>
      <c r="H12" s="126">
        <v>-26830299</v>
      </c>
      <c r="I12" s="127"/>
      <c r="J12" s="134"/>
      <c r="K12" s="45"/>
      <c r="L12" s="49">
        <v>-39735503</v>
      </c>
      <c r="M12" s="47"/>
      <c r="N12" s="49"/>
    </row>
    <row r="13" spans="1:14" s="3" customFormat="1" ht="12">
      <c r="A13" s="3">
        <v>2</v>
      </c>
      <c r="C13" s="3" t="s">
        <v>99</v>
      </c>
      <c r="H13" s="45"/>
      <c r="J13" s="51">
        <f>SUM(H11:H12)</f>
        <v>84083358</v>
      </c>
      <c r="K13" s="45"/>
      <c r="L13" s="51"/>
      <c r="N13" s="51">
        <f>SUM(L11:L12)</f>
        <v>124731729</v>
      </c>
    </row>
    <row r="14" spans="8:14" s="3" customFormat="1" ht="12">
      <c r="H14" s="45"/>
      <c r="J14" s="51"/>
      <c r="K14" s="45"/>
      <c r="L14" s="51"/>
      <c r="N14" s="51"/>
    </row>
    <row r="15" spans="2:14" s="3" customFormat="1" ht="12">
      <c r="B15" s="3" t="s">
        <v>100</v>
      </c>
      <c r="H15" s="45">
        <v>9154821</v>
      </c>
      <c r="J15" s="51"/>
      <c r="K15" s="45"/>
      <c r="L15" s="51">
        <v>13837272</v>
      </c>
      <c r="N15" s="51"/>
    </row>
    <row r="16" spans="2:14" s="3" customFormat="1" ht="12">
      <c r="B16" s="3" t="s">
        <v>87</v>
      </c>
      <c r="H16" s="46">
        <v>-2389391</v>
      </c>
      <c r="I16" s="47"/>
      <c r="J16" s="49"/>
      <c r="K16" s="45"/>
      <c r="L16" s="49">
        <v>-3611248</v>
      </c>
      <c r="M16" s="47"/>
      <c r="N16" s="49"/>
    </row>
    <row r="17" spans="1:14" s="3" customFormat="1" ht="12">
      <c r="A17" s="3">
        <v>3</v>
      </c>
      <c r="C17" s="3" t="s">
        <v>101</v>
      </c>
      <c r="H17" s="45"/>
      <c r="J17" s="51">
        <f>SUM(H15:H16)</f>
        <v>6765430</v>
      </c>
      <c r="K17" s="45"/>
      <c r="L17" s="51"/>
      <c r="N17" s="51">
        <f>SUM(L15:L16)</f>
        <v>10226024</v>
      </c>
    </row>
    <row r="18" spans="8:14" s="3" customFormat="1" ht="12">
      <c r="H18" s="45"/>
      <c r="J18" s="51"/>
      <c r="K18" s="45"/>
      <c r="L18" s="51"/>
      <c r="N18" s="51"/>
    </row>
    <row r="19" spans="2:14" s="3" customFormat="1" ht="12">
      <c r="B19" s="3" t="s">
        <v>40</v>
      </c>
      <c r="H19" s="45">
        <v>10914010</v>
      </c>
      <c r="J19" s="51"/>
      <c r="K19" s="45"/>
      <c r="L19" s="51">
        <v>16183733</v>
      </c>
      <c r="N19" s="51"/>
    </row>
    <row r="20" spans="2:14" s="3" customFormat="1" ht="12">
      <c r="B20" s="3" t="s">
        <v>19</v>
      </c>
      <c r="H20" s="46">
        <v>-212</v>
      </c>
      <c r="I20" s="47"/>
      <c r="J20" s="49"/>
      <c r="K20" s="114"/>
      <c r="L20" s="49">
        <v>-322</v>
      </c>
      <c r="M20" s="47"/>
      <c r="N20" s="49"/>
    </row>
    <row r="21" spans="1:14" s="3" customFormat="1" ht="12">
      <c r="A21" s="3">
        <v>4</v>
      </c>
      <c r="C21" s="3" t="s">
        <v>102</v>
      </c>
      <c r="H21" s="45"/>
      <c r="J21" s="51">
        <f>SUM(H19:H20)</f>
        <v>10913798</v>
      </c>
      <c r="K21" s="45"/>
      <c r="L21" s="51"/>
      <c r="N21" s="51">
        <f>SUM(L19:L20)</f>
        <v>16183411</v>
      </c>
    </row>
    <row r="22" spans="8:14" s="3" customFormat="1" ht="12">
      <c r="H22" s="45"/>
      <c r="J22" s="51"/>
      <c r="K22" s="45"/>
      <c r="L22" s="51"/>
      <c r="N22" s="51"/>
    </row>
    <row r="23" spans="8:14" s="3" customFormat="1" ht="12">
      <c r="H23" s="45"/>
      <c r="J23" s="51"/>
      <c r="K23" s="45"/>
      <c r="L23" s="51"/>
      <c r="N23" s="51"/>
    </row>
    <row r="24" spans="1:14" s="3" customFormat="1" ht="12">
      <c r="A24" s="3">
        <v>5</v>
      </c>
      <c r="B24" s="3" t="s">
        <v>43</v>
      </c>
      <c r="H24" s="45"/>
      <c r="J24" s="135">
        <f>SUM(J9:J21)</f>
        <v>179117475</v>
      </c>
      <c r="K24" s="114"/>
      <c r="L24" s="51"/>
      <c r="N24" s="135">
        <f>SUM(N9:N21)</f>
        <v>265846106</v>
      </c>
    </row>
    <row r="25" spans="8:14" s="3" customFormat="1" ht="12">
      <c r="H25" s="45"/>
      <c r="J25" s="51"/>
      <c r="K25" s="45"/>
      <c r="L25" s="51"/>
      <c r="N25" s="51"/>
    </row>
    <row r="26" spans="8:14" s="3" customFormat="1" ht="12">
      <c r="H26" s="45"/>
      <c r="J26" s="51"/>
      <c r="K26" s="45"/>
      <c r="L26" s="51"/>
      <c r="N26" s="51"/>
    </row>
    <row r="27" spans="1:14" s="3" customFormat="1" ht="12">
      <c r="A27" s="3">
        <v>6</v>
      </c>
      <c r="B27" s="3" t="s">
        <v>103</v>
      </c>
      <c r="I27" s="103"/>
      <c r="J27" s="48">
        <v>549130</v>
      </c>
      <c r="K27" s="48"/>
      <c r="L27" s="167">
        <v>798533</v>
      </c>
      <c r="M27" s="167"/>
      <c r="N27" s="167"/>
    </row>
    <row r="28" spans="8:14" s="3" customFormat="1" ht="12">
      <c r="H28" s="45"/>
      <c r="J28" s="51"/>
      <c r="K28" s="45"/>
      <c r="L28" s="51"/>
      <c r="N28" s="51"/>
    </row>
    <row r="29" spans="1:14" s="3" customFormat="1" ht="12">
      <c r="A29" s="3">
        <v>7</v>
      </c>
      <c r="B29" s="3" t="s">
        <v>44</v>
      </c>
      <c r="H29" s="167">
        <v>5000000</v>
      </c>
      <c r="I29" s="167"/>
      <c r="J29" s="167"/>
      <c r="K29" s="51"/>
      <c r="L29" s="167">
        <v>5000000</v>
      </c>
      <c r="M29" s="167"/>
      <c r="N29" s="167"/>
    </row>
    <row r="30" spans="8:14" s="3" customFormat="1" ht="12">
      <c r="H30" s="45"/>
      <c r="J30" s="51"/>
      <c r="K30" s="45"/>
      <c r="L30" s="51"/>
      <c r="M30" s="52"/>
      <c r="N30" s="51"/>
    </row>
    <row r="31" spans="1:14" s="3" customFormat="1" ht="12">
      <c r="A31" s="3">
        <v>8</v>
      </c>
      <c r="B31" s="3" t="s">
        <v>45</v>
      </c>
      <c r="I31" s="128"/>
      <c r="J31" s="49">
        <v>-2325771</v>
      </c>
      <c r="K31" s="115"/>
      <c r="L31" s="52"/>
      <c r="M31" s="128"/>
      <c r="N31" s="49">
        <v>-4983082</v>
      </c>
    </row>
    <row r="32" spans="8:14" s="3" customFormat="1" ht="12">
      <c r="H32" s="45"/>
      <c r="J32" s="51"/>
      <c r="K32" s="45"/>
      <c r="L32" s="51"/>
      <c r="M32" s="52"/>
      <c r="N32" s="51"/>
    </row>
    <row r="33" spans="1:14" s="3" customFormat="1" ht="12">
      <c r="A33" s="3">
        <v>9</v>
      </c>
      <c r="B33" s="3" t="s">
        <v>46</v>
      </c>
      <c r="I33" s="128"/>
      <c r="J33" s="49">
        <f>SUM(H27:J31)</f>
        <v>3223359</v>
      </c>
      <c r="K33" s="115"/>
      <c r="L33" s="52"/>
      <c r="M33" s="128"/>
      <c r="N33" s="49">
        <f>SUM(L27:N31)</f>
        <v>815451</v>
      </c>
    </row>
    <row r="34" spans="8:14" s="3" customFormat="1" ht="12">
      <c r="H34" s="45"/>
      <c r="J34" s="51"/>
      <c r="K34" s="45"/>
      <c r="L34" s="51"/>
      <c r="M34" s="52"/>
      <c r="N34" s="51"/>
    </row>
    <row r="35" spans="1:14" ht="15.75" thickBot="1">
      <c r="A35" s="3">
        <v>10</v>
      </c>
      <c r="B35" s="3" t="s">
        <v>105</v>
      </c>
      <c r="I35" s="129"/>
      <c r="J35" s="50">
        <f>SUM(J24-J33)</f>
        <v>175894116</v>
      </c>
      <c r="K35" s="115"/>
      <c r="M35" s="129"/>
      <c r="N35" s="50">
        <f>SUM(N24-N33)</f>
        <v>265030655</v>
      </c>
    </row>
    <row r="36" ht="15.75" thickTop="1"/>
    <row r="37" spans="1:14" ht="15.75" thickBot="1">
      <c r="A37" s="3">
        <v>11</v>
      </c>
      <c r="B37" s="3" t="s">
        <v>104</v>
      </c>
      <c r="C37" s="3"/>
      <c r="D37" s="3"/>
      <c r="E37" s="3"/>
      <c r="H37" s="132" t="s">
        <v>166</v>
      </c>
      <c r="I37" s="130"/>
      <c r="J37" s="136">
        <f>SUM(J24/J33)</f>
        <v>55.568577685575825</v>
      </c>
      <c r="L37" s="131" t="s">
        <v>167</v>
      </c>
      <c r="M37" s="130"/>
      <c r="N37" s="136">
        <f>SUM(N24/N33)</f>
        <v>326.0111349425042</v>
      </c>
    </row>
    <row r="38" ht="15.75" thickTop="1"/>
  </sheetData>
  <sheetProtection/>
  <mergeCells count="5">
    <mergeCell ref="H4:J4"/>
    <mergeCell ref="L4:N4"/>
    <mergeCell ref="L27:N27"/>
    <mergeCell ref="H29:J29"/>
    <mergeCell ref="L29:N29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140" zoomScaleNormal="140" zoomScalePageLayoutView="0" workbookViewId="0" topLeftCell="A1">
      <selection activeCell="R15" sqref="R15"/>
    </sheetView>
  </sheetViews>
  <sheetFormatPr defaultColWidth="9.140625" defaultRowHeight="15"/>
  <cols>
    <col min="1" max="1" width="4.7109375" style="0" customWidth="1"/>
    <col min="2" max="2" width="1.421875" style="0" customWidth="1"/>
    <col min="3" max="3" width="8.28125" style="0" customWidth="1"/>
    <col min="4" max="4" width="1.28515625" style="0" customWidth="1"/>
    <col min="5" max="5" width="9.140625" style="0" customWidth="1"/>
    <col min="6" max="6" width="0.85546875" style="0" customWidth="1"/>
    <col min="7" max="7" width="8.421875" style="25" customWidth="1"/>
    <col min="8" max="8" width="1.1484375" style="0" customWidth="1"/>
    <col min="9" max="9" width="11.8515625" style="25" customWidth="1"/>
    <col min="10" max="10" width="1.1484375" style="0" customWidth="1"/>
    <col min="11" max="11" width="10.8515625" style="0" customWidth="1"/>
    <col min="12" max="12" width="0.9921875" style="0" customWidth="1"/>
    <col min="13" max="13" width="13.00390625" style="0" customWidth="1"/>
    <col min="14" max="14" width="1.421875" style="0" customWidth="1"/>
    <col min="15" max="15" width="12.7109375" style="0" customWidth="1"/>
    <col min="16" max="16" width="1.57421875" style="0" customWidth="1"/>
    <col min="17" max="17" width="3.00390625" style="0" customWidth="1"/>
  </cols>
  <sheetData>
    <row r="1" ht="23.25">
      <c r="A1" s="2" t="s">
        <v>0</v>
      </c>
    </row>
    <row r="2" ht="15">
      <c r="A2" t="s">
        <v>137</v>
      </c>
    </row>
    <row r="3" ht="15">
      <c r="A3" s="1" t="s">
        <v>48</v>
      </c>
    </row>
    <row r="4" spans="1:16" ht="15" customHeight="1">
      <c r="A4" s="79"/>
      <c r="B4" s="79"/>
      <c r="C4" s="79"/>
      <c r="D4" s="79"/>
      <c r="E4" s="79"/>
      <c r="F4" s="79"/>
      <c r="G4" s="80"/>
      <c r="H4" s="79"/>
      <c r="I4" s="80"/>
      <c r="J4" s="72"/>
      <c r="K4" s="173" t="s">
        <v>159</v>
      </c>
      <c r="L4" s="79"/>
      <c r="M4" s="81"/>
      <c r="N4" s="79"/>
      <c r="O4" s="72"/>
      <c r="P4" s="3"/>
    </row>
    <row r="5" spans="1:16" ht="15">
      <c r="A5" s="79"/>
      <c r="B5" s="78"/>
      <c r="C5" s="78"/>
      <c r="D5" s="78"/>
      <c r="E5" s="82"/>
      <c r="F5" s="78"/>
      <c r="G5" s="83"/>
      <c r="H5" s="78"/>
      <c r="I5" s="171" t="s">
        <v>134</v>
      </c>
      <c r="J5" s="39"/>
      <c r="K5" s="173"/>
      <c r="L5" s="84"/>
      <c r="M5" s="175" t="s">
        <v>51</v>
      </c>
      <c r="N5" s="5"/>
      <c r="O5" s="177" t="s">
        <v>50</v>
      </c>
      <c r="P5" s="3"/>
    </row>
    <row r="6" spans="1:16" ht="15" customHeight="1">
      <c r="A6" s="78"/>
      <c r="B6" s="78"/>
      <c r="C6" s="78"/>
      <c r="D6" s="78"/>
      <c r="E6" s="178" t="s">
        <v>31</v>
      </c>
      <c r="F6" s="17"/>
      <c r="G6" s="180" t="s">
        <v>160</v>
      </c>
      <c r="H6" s="17"/>
      <c r="I6" s="171"/>
      <c r="J6" s="39"/>
      <c r="K6" s="173"/>
      <c r="L6" s="19"/>
      <c r="M6" s="175"/>
      <c r="N6" s="5"/>
      <c r="O6" s="177"/>
      <c r="P6" s="3"/>
    </row>
    <row r="7" spans="1:16" ht="15">
      <c r="A7" s="78"/>
      <c r="B7" s="78"/>
      <c r="C7" s="78"/>
      <c r="D7" s="78"/>
      <c r="E7" s="178"/>
      <c r="F7" s="17"/>
      <c r="G7" s="180"/>
      <c r="H7" s="17"/>
      <c r="I7" s="171"/>
      <c r="J7" s="39"/>
      <c r="K7" s="173"/>
      <c r="L7" s="19"/>
      <c r="M7" s="175"/>
      <c r="N7" s="5"/>
      <c r="O7" s="177"/>
      <c r="P7" s="3"/>
    </row>
    <row r="8" spans="1:16" ht="15">
      <c r="A8" s="168" t="s">
        <v>12</v>
      </c>
      <c r="B8" s="78"/>
      <c r="C8" s="168" t="s">
        <v>3</v>
      </c>
      <c r="D8" s="78"/>
      <c r="E8" s="178"/>
      <c r="F8" s="17"/>
      <c r="G8" s="180"/>
      <c r="H8" s="17"/>
      <c r="I8" s="171"/>
      <c r="J8" s="39"/>
      <c r="K8" s="173"/>
      <c r="L8" s="19"/>
      <c r="M8" s="175"/>
      <c r="N8" s="5"/>
      <c r="O8" s="177"/>
      <c r="P8" s="3"/>
    </row>
    <row r="9" spans="1:16" ht="15.75" thickBot="1">
      <c r="A9" s="169"/>
      <c r="B9" s="85"/>
      <c r="C9" s="169"/>
      <c r="D9" s="85"/>
      <c r="E9" s="179"/>
      <c r="F9" s="18"/>
      <c r="G9" s="181"/>
      <c r="H9" s="18"/>
      <c r="I9" s="172"/>
      <c r="J9" s="40"/>
      <c r="K9" s="174"/>
      <c r="L9" s="20"/>
      <c r="M9" s="176"/>
      <c r="N9" s="9"/>
      <c r="O9" s="174"/>
      <c r="P9" s="3"/>
    </row>
    <row r="10" spans="1:16" ht="15">
      <c r="A10" s="79"/>
      <c r="B10" s="79"/>
      <c r="C10" s="79"/>
      <c r="D10" s="79"/>
      <c r="E10" s="79"/>
      <c r="F10" s="79"/>
      <c r="G10" s="80"/>
      <c r="H10" s="79"/>
      <c r="I10" s="80"/>
      <c r="J10" s="72"/>
      <c r="K10" s="72"/>
      <c r="L10" s="79"/>
      <c r="M10" s="81"/>
      <c r="N10" s="79"/>
      <c r="O10" s="72"/>
      <c r="P10" s="3"/>
    </row>
    <row r="11" spans="1:16" ht="15">
      <c r="A11" s="79">
        <v>1</v>
      </c>
      <c r="B11" s="79"/>
      <c r="C11" s="79">
        <v>2019</v>
      </c>
      <c r="D11" s="79"/>
      <c r="E11" s="80">
        <f>SUM(96*80*1300)</f>
        <v>9984000</v>
      </c>
      <c r="F11" s="79"/>
      <c r="G11" s="80">
        <f>SUM(E11/1300)</f>
        <v>7680</v>
      </c>
      <c r="H11" s="79"/>
      <c r="I11" s="80">
        <f>SUM(G11*21.82)</f>
        <v>167577.6</v>
      </c>
      <c r="J11" s="72"/>
      <c r="K11" s="72">
        <f>SUM(I11*25.8)</f>
        <v>4323502.08</v>
      </c>
      <c r="L11" s="79"/>
      <c r="M11" s="81">
        <f>SUM(K11/(1.07)^A11)</f>
        <v>4040656.14953271</v>
      </c>
      <c r="N11" s="79"/>
      <c r="O11" s="72">
        <f>SUM(K11/(1.03)^A11)</f>
        <v>4197574.834951457</v>
      </c>
      <c r="P11" s="3"/>
    </row>
    <row r="12" spans="1:16" ht="15">
      <c r="A12" s="79">
        <v>2</v>
      </c>
      <c r="B12" s="79"/>
      <c r="C12" s="79">
        <v>2020</v>
      </c>
      <c r="D12" s="79"/>
      <c r="E12" s="80">
        <f>SUM(96*80*1300)</f>
        <v>9984000</v>
      </c>
      <c r="F12" s="79"/>
      <c r="G12" s="80">
        <f aca="true" t="shared" si="0" ref="G12:G30">SUM(E12/1300)</f>
        <v>7680</v>
      </c>
      <c r="H12" s="79"/>
      <c r="I12" s="80">
        <f aca="true" t="shared" si="1" ref="I12:I30">SUM(G12*21.82)</f>
        <v>167577.6</v>
      </c>
      <c r="J12" s="72"/>
      <c r="K12" s="72">
        <f aca="true" t="shared" si="2" ref="K12:K30">SUM(I12*25.8)</f>
        <v>4323502.08</v>
      </c>
      <c r="L12" s="79"/>
      <c r="M12" s="81">
        <f aca="true" t="shared" si="3" ref="M12:M30">SUM(K12/(1.07)^A12)</f>
        <v>3776314.1584417853</v>
      </c>
      <c r="N12" s="79"/>
      <c r="O12" s="72">
        <f aca="true" t="shared" si="4" ref="O12:O30">SUM(K12/(1.03)^A12)</f>
        <v>4075315.3737392784</v>
      </c>
      <c r="P12" s="3"/>
    </row>
    <row r="13" spans="1:16" ht="15">
      <c r="A13" s="79">
        <v>3</v>
      </c>
      <c r="B13" s="79"/>
      <c r="C13" s="79">
        <v>2021</v>
      </c>
      <c r="D13" s="79"/>
      <c r="E13" s="80">
        <f>SUM(96*80*1300)</f>
        <v>9984000</v>
      </c>
      <c r="F13" s="79"/>
      <c r="G13" s="80">
        <f t="shared" si="0"/>
        <v>7680</v>
      </c>
      <c r="H13" s="79"/>
      <c r="I13" s="80">
        <f t="shared" si="1"/>
        <v>167577.6</v>
      </c>
      <c r="J13" s="72"/>
      <c r="K13" s="72">
        <f t="shared" si="2"/>
        <v>4323502.08</v>
      </c>
      <c r="L13" s="79"/>
      <c r="M13" s="81">
        <f t="shared" si="3"/>
        <v>3529265.5686371825</v>
      </c>
      <c r="N13" s="79"/>
      <c r="O13" s="72">
        <f t="shared" si="4"/>
        <v>3956616.867708037</v>
      </c>
      <c r="P13" s="3"/>
    </row>
    <row r="14" spans="1:16" ht="15">
      <c r="A14" s="79">
        <v>4</v>
      </c>
      <c r="B14" s="79"/>
      <c r="C14" s="79">
        <v>2022</v>
      </c>
      <c r="D14" s="79"/>
      <c r="E14" s="80">
        <f>SUM(96*80*1300)</f>
        <v>9984000</v>
      </c>
      <c r="F14" s="79"/>
      <c r="G14" s="80">
        <f t="shared" si="0"/>
        <v>7680</v>
      </c>
      <c r="H14" s="79"/>
      <c r="I14" s="80">
        <f t="shared" si="1"/>
        <v>167577.6</v>
      </c>
      <c r="J14" s="72"/>
      <c r="K14" s="72">
        <f t="shared" si="2"/>
        <v>4323502.08</v>
      </c>
      <c r="L14" s="79"/>
      <c r="M14" s="81">
        <f t="shared" si="3"/>
        <v>3298379.0361095164</v>
      </c>
      <c r="N14" s="79"/>
      <c r="O14" s="72">
        <f t="shared" si="4"/>
        <v>3841375.599716541</v>
      </c>
      <c r="P14" s="3"/>
    </row>
    <row r="15" spans="1:16" ht="15">
      <c r="A15" s="79">
        <v>5</v>
      </c>
      <c r="B15" s="79"/>
      <c r="C15" s="79">
        <v>2023</v>
      </c>
      <c r="D15" s="79"/>
      <c r="E15" s="80">
        <f>SUM(192*80*1300)</f>
        <v>19968000</v>
      </c>
      <c r="F15" s="79"/>
      <c r="G15" s="80">
        <f t="shared" si="0"/>
        <v>15360</v>
      </c>
      <c r="H15" s="79"/>
      <c r="I15" s="80">
        <f t="shared" si="1"/>
        <v>335155.2</v>
      </c>
      <c r="J15" s="72"/>
      <c r="K15" s="72">
        <f t="shared" si="2"/>
        <v>8647004.16</v>
      </c>
      <c r="L15" s="79"/>
      <c r="M15" s="81">
        <f t="shared" si="3"/>
        <v>6165194.460017787</v>
      </c>
      <c r="N15" s="79"/>
      <c r="O15" s="72">
        <f t="shared" si="4"/>
        <v>7458981.74702241</v>
      </c>
      <c r="P15" s="3"/>
    </row>
    <row r="16" spans="1:16" ht="15">
      <c r="A16" s="79">
        <v>6</v>
      </c>
      <c r="B16" s="79"/>
      <c r="C16" s="79">
        <v>2024</v>
      </c>
      <c r="D16" s="79"/>
      <c r="E16" s="80">
        <f>SUM(192*80*1300)</f>
        <v>19968000</v>
      </c>
      <c r="F16" s="79"/>
      <c r="G16" s="80">
        <f t="shared" si="0"/>
        <v>15360</v>
      </c>
      <c r="H16" s="79"/>
      <c r="I16" s="80">
        <f t="shared" si="1"/>
        <v>335155.2</v>
      </c>
      <c r="J16" s="72"/>
      <c r="K16" s="72">
        <f t="shared" si="2"/>
        <v>8647004.16</v>
      </c>
      <c r="L16" s="79"/>
      <c r="M16" s="81">
        <f t="shared" si="3"/>
        <v>5761863.981325035</v>
      </c>
      <c r="N16" s="79"/>
      <c r="O16" s="72">
        <f t="shared" si="4"/>
        <v>7241729.851478067</v>
      </c>
      <c r="P16" s="3"/>
    </row>
    <row r="17" spans="1:16" ht="15">
      <c r="A17" s="79">
        <v>7</v>
      </c>
      <c r="B17" s="79"/>
      <c r="C17" s="79">
        <v>2025</v>
      </c>
      <c r="D17" s="79"/>
      <c r="E17" s="80">
        <f>SUM(192*80*1300)</f>
        <v>19968000</v>
      </c>
      <c r="F17" s="79"/>
      <c r="G17" s="80">
        <f t="shared" si="0"/>
        <v>15360</v>
      </c>
      <c r="H17" s="79"/>
      <c r="I17" s="80">
        <f t="shared" si="1"/>
        <v>335155.2</v>
      </c>
      <c r="J17" s="72"/>
      <c r="K17" s="72">
        <f t="shared" si="2"/>
        <v>8647004.16</v>
      </c>
      <c r="L17" s="79"/>
      <c r="M17" s="81">
        <f t="shared" si="3"/>
        <v>5384919.608714986</v>
      </c>
      <c r="N17" s="79"/>
      <c r="O17" s="72">
        <f t="shared" si="4"/>
        <v>7030805.6810466675</v>
      </c>
      <c r="P17" s="3"/>
    </row>
    <row r="18" spans="1:16" ht="15">
      <c r="A18" s="79">
        <v>8</v>
      </c>
      <c r="B18" s="79"/>
      <c r="C18" s="79">
        <v>2026</v>
      </c>
      <c r="D18" s="79"/>
      <c r="E18" s="80">
        <f>SUM(200*80*1300)</f>
        <v>20800000</v>
      </c>
      <c r="F18" s="79"/>
      <c r="G18" s="80">
        <f t="shared" si="0"/>
        <v>16000</v>
      </c>
      <c r="H18" s="79"/>
      <c r="I18" s="80">
        <f t="shared" si="1"/>
        <v>349120</v>
      </c>
      <c r="J18" s="72"/>
      <c r="K18" s="72">
        <f t="shared" si="2"/>
        <v>9007296</v>
      </c>
      <c r="L18" s="79"/>
      <c r="M18" s="81">
        <f t="shared" si="3"/>
        <v>5242328.279512253</v>
      </c>
      <c r="N18" s="79"/>
      <c r="O18" s="72">
        <f t="shared" si="4"/>
        <v>7110442.638598977</v>
      </c>
      <c r="P18" s="3"/>
    </row>
    <row r="19" spans="1:16" ht="15">
      <c r="A19" s="79">
        <v>9</v>
      </c>
      <c r="B19" s="79"/>
      <c r="C19" s="79">
        <v>2027</v>
      </c>
      <c r="D19" s="79"/>
      <c r="E19" s="80">
        <f>SUM(200*80*1300)</f>
        <v>20800000</v>
      </c>
      <c r="F19" s="79"/>
      <c r="G19" s="80">
        <f t="shared" si="0"/>
        <v>16000</v>
      </c>
      <c r="H19" s="79"/>
      <c r="I19" s="80">
        <f t="shared" si="1"/>
        <v>349120</v>
      </c>
      <c r="J19" s="72"/>
      <c r="K19" s="72">
        <f t="shared" si="2"/>
        <v>9007296</v>
      </c>
      <c r="L19" s="79"/>
      <c r="M19" s="81">
        <f t="shared" si="3"/>
        <v>4899372.223843226</v>
      </c>
      <c r="N19" s="79"/>
      <c r="O19" s="72">
        <f t="shared" si="4"/>
        <v>6903342.367571821</v>
      </c>
      <c r="P19" s="3"/>
    </row>
    <row r="20" spans="1:16" ht="15">
      <c r="A20" s="79">
        <v>10</v>
      </c>
      <c r="B20" s="79"/>
      <c r="C20" s="79">
        <v>2028</v>
      </c>
      <c r="D20" s="79"/>
      <c r="E20" s="80">
        <f>SUM(200*80*1300)</f>
        <v>20800000</v>
      </c>
      <c r="F20" s="79"/>
      <c r="G20" s="80">
        <f t="shared" si="0"/>
        <v>16000</v>
      </c>
      <c r="H20" s="79"/>
      <c r="I20" s="80">
        <f t="shared" si="1"/>
        <v>349120</v>
      </c>
      <c r="J20" s="72"/>
      <c r="K20" s="72">
        <f t="shared" si="2"/>
        <v>9007296</v>
      </c>
      <c r="L20" s="79"/>
      <c r="M20" s="81">
        <f t="shared" si="3"/>
        <v>4578852.545647875</v>
      </c>
      <c r="N20" s="79"/>
      <c r="O20" s="72">
        <f t="shared" si="4"/>
        <v>6702274.143273613</v>
      </c>
      <c r="P20" s="3"/>
    </row>
    <row r="21" spans="1:16" ht="15">
      <c r="A21" s="79">
        <v>11</v>
      </c>
      <c r="B21" s="79"/>
      <c r="C21" s="79">
        <v>2029</v>
      </c>
      <c r="D21" s="79"/>
      <c r="E21" s="80">
        <f>SUM(216*80*1300)</f>
        <v>22464000</v>
      </c>
      <c r="F21" s="79"/>
      <c r="G21" s="80">
        <f t="shared" si="0"/>
        <v>17280</v>
      </c>
      <c r="H21" s="79"/>
      <c r="I21" s="80">
        <f t="shared" si="1"/>
        <v>377049.6</v>
      </c>
      <c r="J21" s="72"/>
      <c r="K21" s="72">
        <f t="shared" si="2"/>
        <v>9727879.68</v>
      </c>
      <c r="L21" s="79"/>
      <c r="M21" s="81">
        <f t="shared" si="3"/>
        <v>4621645.560093181</v>
      </c>
      <c r="N21" s="79"/>
      <c r="O21" s="72">
        <f t="shared" si="4"/>
        <v>7027627.257024759</v>
      </c>
      <c r="P21" s="3"/>
    </row>
    <row r="22" spans="1:16" ht="15">
      <c r="A22" s="79">
        <v>12</v>
      </c>
      <c r="B22" s="79"/>
      <c r="C22" s="79">
        <v>2030</v>
      </c>
      <c r="D22" s="79"/>
      <c r="E22" s="80">
        <f>SUM(216*80*1300)</f>
        <v>22464000</v>
      </c>
      <c r="F22" s="79"/>
      <c r="G22" s="80">
        <f t="shared" si="0"/>
        <v>17280</v>
      </c>
      <c r="H22" s="79"/>
      <c r="I22" s="80">
        <f t="shared" si="1"/>
        <v>377049.6</v>
      </c>
      <c r="J22" s="72"/>
      <c r="K22" s="72">
        <f t="shared" si="2"/>
        <v>9727879.68</v>
      </c>
      <c r="L22" s="79"/>
      <c r="M22" s="81">
        <f t="shared" si="3"/>
        <v>4319294.915974936</v>
      </c>
      <c r="N22" s="79"/>
      <c r="O22" s="72">
        <f t="shared" si="4"/>
        <v>6822939.084490058</v>
      </c>
      <c r="P22" s="3"/>
    </row>
    <row r="23" spans="1:16" ht="15">
      <c r="A23" s="79">
        <v>13</v>
      </c>
      <c r="B23" s="79"/>
      <c r="C23" s="79">
        <v>2031</v>
      </c>
      <c r="D23" s="79"/>
      <c r="E23" s="80">
        <f>SUM(216*80*1300)</f>
        <v>22464000</v>
      </c>
      <c r="F23" s="79"/>
      <c r="G23" s="80">
        <f t="shared" si="0"/>
        <v>17280</v>
      </c>
      <c r="H23" s="79"/>
      <c r="I23" s="80">
        <f t="shared" si="1"/>
        <v>377049.6</v>
      </c>
      <c r="J23" s="72"/>
      <c r="K23" s="72">
        <f t="shared" si="2"/>
        <v>9727879.68</v>
      </c>
      <c r="L23" s="79"/>
      <c r="M23" s="81">
        <f t="shared" si="3"/>
        <v>4036724.220537324</v>
      </c>
      <c r="N23" s="79"/>
      <c r="O23" s="72">
        <f t="shared" si="4"/>
        <v>6624212.703388407</v>
      </c>
      <c r="P23" s="3"/>
    </row>
    <row r="24" spans="1:16" ht="15">
      <c r="A24" s="79">
        <v>14</v>
      </c>
      <c r="B24" s="79"/>
      <c r="C24" s="79">
        <v>2032</v>
      </c>
      <c r="D24" s="79"/>
      <c r="E24" s="80">
        <f>SUM(216*80*1300)</f>
        <v>22464000</v>
      </c>
      <c r="F24" s="79"/>
      <c r="G24" s="80">
        <f t="shared" si="0"/>
        <v>17280</v>
      </c>
      <c r="H24" s="79"/>
      <c r="I24" s="80">
        <f t="shared" si="1"/>
        <v>377049.6</v>
      </c>
      <c r="J24" s="72"/>
      <c r="K24" s="72">
        <f t="shared" si="2"/>
        <v>9727879.68</v>
      </c>
      <c r="L24" s="79"/>
      <c r="M24" s="81">
        <f t="shared" si="3"/>
        <v>3772639.458446097</v>
      </c>
      <c r="N24" s="79"/>
      <c r="O24" s="72">
        <f t="shared" si="4"/>
        <v>6431274.469309132</v>
      </c>
      <c r="P24" s="3"/>
    </row>
    <row r="25" spans="1:16" ht="15">
      <c r="A25" s="79">
        <v>15</v>
      </c>
      <c r="B25" s="79"/>
      <c r="C25" s="79">
        <v>2033</v>
      </c>
      <c r="D25" s="79"/>
      <c r="E25" s="80">
        <f>SUM(224*80*1300)</f>
        <v>23296000</v>
      </c>
      <c r="F25" s="79"/>
      <c r="G25" s="80">
        <f t="shared" si="0"/>
        <v>17920</v>
      </c>
      <c r="H25" s="79"/>
      <c r="I25" s="80">
        <f t="shared" si="1"/>
        <v>391014.4</v>
      </c>
      <c r="J25" s="72"/>
      <c r="K25" s="72">
        <f t="shared" si="2"/>
        <v>10088171.520000001</v>
      </c>
      <c r="L25" s="79"/>
      <c r="M25" s="81">
        <f t="shared" si="3"/>
        <v>3656417.6128934138</v>
      </c>
      <c r="N25" s="79"/>
      <c r="O25" s="72">
        <f t="shared" si="4"/>
        <v>6475213.417499307</v>
      </c>
      <c r="P25" s="3"/>
    </row>
    <row r="26" spans="1:16" ht="15">
      <c r="A26" s="79">
        <v>16</v>
      </c>
      <c r="B26" s="79"/>
      <c r="C26" s="79">
        <v>2034</v>
      </c>
      <c r="D26" s="79"/>
      <c r="E26" s="80">
        <f>SUM(224*80*1300)</f>
        <v>23296000</v>
      </c>
      <c r="F26" s="79"/>
      <c r="G26" s="80">
        <f t="shared" si="0"/>
        <v>17920</v>
      </c>
      <c r="H26" s="79"/>
      <c r="I26" s="80">
        <f t="shared" si="1"/>
        <v>391014.4</v>
      </c>
      <c r="J26" s="72"/>
      <c r="K26" s="72">
        <f t="shared" si="2"/>
        <v>10088171.520000001</v>
      </c>
      <c r="L26" s="79"/>
      <c r="M26" s="81">
        <f t="shared" si="3"/>
        <v>3417212.722330294</v>
      </c>
      <c r="N26" s="79"/>
      <c r="O26" s="72">
        <f t="shared" si="4"/>
        <v>6286614.96844593</v>
      </c>
      <c r="P26" s="3"/>
    </row>
    <row r="27" spans="1:16" ht="15">
      <c r="A27" s="79">
        <v>17</v>
      </c>
      <c r="B27" s="79"/>
      <c r="C27" s="79">
        <v>2035</v>
      </c>
      <c r="D27" s="79"/>
      <c r="E27" s="80">
        <f>SUM(224*80*1300)</f>
        <v>23296000</v>
      </c>
      <c r="F27" s="79"/>
      <c r="G27" s="80">
        <f t="shared" si="0"/>
        <v>17920</v>
      </c>
      <c r="H27" s="79"/>
      <c r="I27" s="80">
        <f t="shared" si="1"/>
        <v>391014.4</v>
      </c>
      <c r="J27" s="72"/>
      <c r="K27" s="72">
        <f t="shared" si="2"/>
        <v>10088171.520000001</v>
      </c>
      <c r="L27" s="79"/>
      <c r="M27" s="81">
        <f t="shared" si="3"/>
        <v>3193656.749841396</v>
      </c>
      <c r="N27" s="79"/>
      <c r="O27" s="72">
        <f t="shared" si="4"/>
        <v>6103509.678102844</v>
      </c>
      <c r="P27" s="3"/>
    </row>
    <row r="28" spans="1:16" ht="15">
      <c r="A28" s="79">
        <v>18</v>
      </c>
      <c r="B28" s="79"/>
      <c r="C28" s="79">
        <v>2036</v>
      </c>
      <c r="D28" s="79"/>
      <c r="E28" s="80">
        <f>SUM(231*80*1300)</f>
        <v>24024000</v>
      </c>
      <c r="F28" s="79"/>
      <c r="G28" s="80">
        <f t="shared" si="0"/>
        <v>18480</v>
      </c>
      <c r="H28" s="79"/>
      <c r="I28" s="80">
        <f t="shared" si="1"/>
        <v>403233.6</v>
      </c>
      <c r="J28" s="72"/>
      <c r="K28" s="72">
        <f t="shared" si="2"/>
        <v>10403426.879999999</v>
      </c>
      <c r="L28" s="79"/>
      <c r="M28" s="81">
        <f t="shared" si="3"/>
        <v>3077998.619882186</v>
      </c>
      <c r="N28" s="79"/>
      <c r="O28" s="72">
        <f t="shared" si="4"/>
        <v>6110916.850042288</v>
      </c>
      <c r="P28" s="3"/>
    </row>
    <row r="29" spans="1:16" ht="15">
      <c r="A29" s="79">
        <v>19</v>
      </c>
      <c r="B29" s="79"/>
      <c r="C29" s="79">
        <v>2037</v>
      </c>
      <c r="D29" s="79"/>
      <c r="E29" s="80">
        <f>SUM(231*80*1300)</f>
        <v>24024000</v>
      </c>
      <c r="F29" s="79"/>
      <c r="G29" s="80">
        <f t="shared" si="0"/>
        <v>18480</v>
      </c>
      <c r="H29" s="79"/>
      <c r="I29" s="80">
        <f t="shared" si="1"/>
        <v>403233.6</v>
      </c>
      <c r="J29" s="72"/>
      <c r="K29" s="72">
        <f t="shared" si="2"/>
        <v>10403426.879999999</v>
      </c>
      <c r="L29" s="79"/>
      <c r="M29" s="81">
        <f t="shared" si="3"/>
        <v>2876634.2241889588</v>
      </c>
      <c r="N29" s="79"/>
      <c r="O29" s="72">
        <f t="shared" si="4"/>
        <v>5932928.9806235805</v>
      </c>
      <c r="P29" s="3"/>
    </row>
    <row r="30" spans="1:16" ht="15">
      <c r="A30" s="79">
        <v>20</v>
      </c>
      <c r="B30" s="79"/>
      <c r="C30" s="79">
        <v>2038</v>
      </c>
      <c r="D30" s="44"/>
      <c r="E30" s="90">
        <f>SUM(231*80*1300)</f>
        <v>24024000</v>
      </c>
      <c r="F30" s="44"/>
      <c r="G30" s="90">
        <f t="shared" si="0"/>
        <v>18480</v>
      </c>
      <c r="H30" s="44"/>
      <c r="I30" s="90">
        <f t="shared" si="1"/>
        <v>403233.6</v>
      </c>
      <c r="J30" s="73"/>
      <c r="K30" s="73">
        <f t="shared" si="2"/>
        <v>10403426.879999999</v>
      </c>
      <c r="L30" s="44"/>
      <c r="M30" s="86">
        <f t="shared" si="3"/>
        <v>2688443.200176597</v>
      </c>
      <c r="N30" s="44"/>
      <c r="O30" s="73">
        <f t="shared" si="4"/>
        <v>5760125.223906389</v>
      </c>
      <c r="P30" s="3"/>
    </row>
    <row r="31" spans="1:16" ht="15">
      <c r="A31" s="79"/>
      <c r="B31" s="79"/>
      <c r="C31" s="79"/>
      <c r="D31" s="79"/>
      <c r="E31" s="79"/>
      <c r="F31" s="79"/>
      <c r="G31" s="80"/>
      <c r="H31" s="79"/>
      <c r="I31" s="80"/>
      <c r="J31" s="72"/>
      <c r="K31" s="72"/>
      <c r="L31" s="79"/>
      <c r="M31" s="81"/>
      <c r="N31" s="79"/>
      <c r="O31" s="72"/>
      <c r="P31" s="3"/>
    </row>
    <row r="32" spans="1:16" ht="15.75" thickBot="1">
      <c r="A32" s="79"/>
      <c r="B32" s="79"/>
      <c r="C32" s="79"/>
      <c r="D32" s="79"/>
      <c r="E32" s="79"/>
      <c r="F32" s="79"/>
      <c r="G32" s="83"/>
      <c r="H32" s="78"/>
      <c r="I32" s="83"/>
      <c r="J32" s="88"/>
      <c r="K32" s="88">
        <f>SUM(K11:K31)</f>
        <v>170643222.72</v>
      </c>
      <c r="L32" s="88"/>
      <c r="M32" s="88">
        <f>SUM(M11:M30)</f>
        <v>82337813.29614672</v>
      </c>
      <c r="N32" s="88"/>
      <c r="O32" s="88">
        <f>SUM(O11:O30)</f>
        <v>122093821.73793955</v>
      </c>
      <c r="P32" s="74"/>
    </row>
    <row r="33" spans="1:16" ht="16.5" customHeight="1" thickTop="1">
      <c r="A33" s="3"/>
      <c r="B33" s="3"/>
      <c r="C33" s="3"/>
      <c r="D33" s="3"/>
      <c r="E33" s="3"/>
      <c r="F33" s="3"/>
      <c r="G33" s="26"/>
      <c r="H33" s="3"/>
      <c r="I33" s="26"/>
      <c r="J33" s="59"/>
      <c r="K33" s="59"/>
      <c r="L33" s="3"/>
      <c r="M33" s="13"/>
      <c r="N33" s="3"/>
      <c r="O33" s="59"/>
      <c r="P33" s="3"/>
    </row>
    <row r="34" spans="1:16" ht="15">
      <c r="A34" s="3"/>
      <c r="B34" s="76" t="s">
        <v>25</v>
      </c>
      <c r="C34" s="3"/>
      <c r="D34" s="3"/>
      <c r="E34" s="3"/>
      <c r="F34" s="3"/>
      <c r="G34" s="26"/>
      <c r="H34" s="3"/>
      <c r="I34" s="26"/>
      <c r="J34" s="59"/>
      <c r="K34" s="59"/>
      <c r="L34" s="3"/>
      <c r="M34" s="13"/>
      <c r="N34" s="3"/>
      <c r="O34" s="59"/>
      <c r="P34" s="3"/>
    </row>
    <row r="35" spans="1:16" ht="15">
      <c r="A35" s="3"/>
      <c r="B35" s="77" t="s">
        <v>164</v>
      </c>
      <c r="C35" s="3"/>
      <c r="D35" s="3"/>
      <c r="E35" s="3"/>
      <c r="F35" s="3"/>
      <c r="G35" s="26"/>
      <c r="H35" s="3"/>
      <c r="I35" s="26"/>
      <c r="J35" s="59"/>
      <c r="K35" s="59"/>
      <c r="L35" s="3"/>
      <c r="M35" s="13"/>
      <c r="N35" s="3"/>
      <c r="O35" s="59"/>
      <c r="P35" s="3"/>
    </row>
    <row r="36" spans="1:16" ht="15">
      <c r="A36" s="3"/>
      <c r="B36" s="77" t="s">
        <v>161</v>
      </c>
      <c r="C36" s="3"/>
      <c r="D36" s="3"/>
      <c r="E36" s="3"/>
      <c r="F36" s="3"/>
      <c r="G36" s="26"/>
      <c r="H36" s="3"/>
      <c r="I36" s="26"/>
      <c r="J36" s="59"/>
      <c r="K36" s="59"/>
      <c r="L36" s="3"/>
      <c r="M36" s="13"/>
      <c r="N36" s="3"/>
      <c r="O36" s="59"/>
      <c r="P36" s="3"/>
    </row>
    <row r="37" spans="1:16" ht="15">
      <c r="A37" s="3"/>
      <c r="B37" s="77" t="s">
        <v>154</v>
      </c>
      <c r="C37" s="3"/>
      <c r="D37" s="3"/>
      <c r="E37" s="3"/>
      <c r="F37" s="3"/>
      <c r="G37" s="26"/>
      <c r="H37" s="3"/>
      <c r="I37" s="26"/>
      <c r="J37" s="3"/>
      <c r="K37" s="3"/>
      <c r="L37" s="3"/>
      <c r="M37" s="3"/>
      <c r="N37" s="3"/>
      <c r="O37" s="3"/>
      <c r="P37" s="3"/>
    </row>
    <row r="38" spans="1:16" ht="15">
      <c r="A38" s="3"/>
      <c r="B38" s="77" t="s">
        <v>155</v>
      </c>
      <c r="C38" s="3"/>
      <c r="D38" s="3"/>
      <c r="E38" s="3"/>
      <c r="F38" s="3"/>
      <c r="G38" s="26"/>
      <c r="H38" s="3"/>
      <c r="I38" s="26"/>
      <c r="J38" s="3"/>
      <c r="K38" s="3"/>
      <c r="L38" s="3"/>
      <c r="M38" s="3"/>
      <c r="N38" s="3"/>
      <c r="O38" s="3"/>
      <c r="P38" s="3"/>
    </row>
    <row r="39" spans="1:16" ht="15">
      <c r="A39" s="3"/>
      <c r="B39" s="77" t="s">
        <v>156</v>
      </c>
      <c r="C39" s="3"/>
      <c r="D39" s="3"/>
      <c r="E39" s="3"/>
      <c r="F39" s="3"/>
      <c r="G39" s="26"/>
      <c r="H39" s="3"/>
      <c r="I39" s="26"/>
      <c r="J39" s="3"/>
      <c r="K39" s="3"/>
      <c r="L39" s="3"/>
      <c r="M39" s="3"/>
      <c r="N39" s="3"/>
      <c r="O39" s="3"/>
      <c r="P39" s="3"/>
    </row>
    <row r="40" spans="1:16" ht="15">
      <c r="A40" s="3"/>
      <c r="B40" s="77" t="s">
        <v>157</v>
      </c>
      <c r="C40" s="3"/>
      <c r="D40" s="3"/>
      <c r="E40" s="3"/>
      <c r="F40" s="3"/>
      <c r="G40" s="26"/>
      <c r="H40" s="3"/>
      <c r="I40" s="26"/>
      <c r="J40" s="59"/>
      <c r="K40" s="59"/>
      <c r="L40" s="3"/>
      <c r="M40" s="13"/>
      <c r="N40" s="3"/>
      <c r="O40" s="59"/>
      <c r="P40" s="3"/>
    </row>
    <row r="41" spans="1:16" ht="15">
      <c r="A41" s="3"/>
      <c r="B41" s="77" t="s">
        <v>52</v>
      </c>
      <c r="C41" s="3"/>
      <c r="D41" s="3"/>
      <c r="E41" s="3"/>
      <c r="F41" s="3"/>
      <c r="G41" s="26"/>
      <c r="H41" s="3"/>
      <c r="I41" s="26"/>
      <c r="J41" s="59"/>
      <c r="K41" s="59"/>
      <c r="L41" s="3"/>
      <c r="M41" s="13"/>
      <c r="N41" s="3"/>
      <c r="O41" s="59"/>
      <c r="P41" s="3"/>
    </row>
    <row r="42" spans="1:16" ht="26.25" customHeight="1">
      <c r="A42" s="3"/>
      <c r="B42" s="170" t="s">
        <v>158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3"/>
    </row>
    <row r="43" spans="1:16" ht="15">
      <c r="A43" s="3"/>
      <c r="B43" s="77" t="s">
        <v>9</v>
      </c>
      <c r="C43" s="3"/>
      <c r="D43" s="3"/>
      <c r="E43" s="3"/>
      <c r="F43" s="3"/>
      <c r="G43" s="26"/>
      <c r="H43" s="3"/>
      <c r="I43" s="26"/>
      <c r="J43" s="59"/>
      <c r="K43" s="59"/>
      <c r="L43" s="3"/>
      <c r="M43" s="13"/>
      <c r="N43" s="3"/>
      <c r="O43" s="59"/>
      <c r="P43" s="3"/>
    </row>
    <row r="44" spans="1:16" ht="15">
      <c r="A44" s="3"/>
      <c r="B44" s="170" t="s">
        <v>38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</row>
  </sheetData>
  <sheetProtection/>
  <mergeCells count="10">
    <mergeCell ref="A8:A9"/>
    <mergeCell ref="C8:C9"/>
    <mergeCell ref="B44:P44"/>
    <mergeCell ref="I5:I9"/>
    <mergeCell ref="K4:K9"/>
    <mergeCell ref="B42:O42"/>
    <mergeCell ref="M5:M9"/>
    <mergeCell ref="O5:O9"/>
    <mergeCell ref="E6:E9"/>
    <mergeCell ref="G6:G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="140" zoomScaleNormal="140" zoomScalePageLayoutView="0" workbookViewId="0" topLeftCell="A1">
      <selection activeCell="S29" sqref="S29"/>
    </sheetView>
  </sheetViews>
  <sheetFormatPr defaultColWidth="9.140625" defaultRowHeight="15"/>
  <cols>
    <col min="1" max="1" width="4.8515625" style="0" customWidth="1"/>
    <col min="2" max="2" width="1.28515625" style="0" customWidth="1"/>
    <col min="3" max="3" width="8.7109375" style="0" customWidth="1"/>
    <col min="4" max="4" width="2.00390625" style="0" customWidth="1"/>
    <col min="5" max="5" width="9.421875" style="0" customWidth="1"/>
    <col min="6" max="6" width="1.421875" style="0" customWidth="1"/>
    <col min="7" max="7" width="7.00390625" style="0" customWidth="1"/>
    <col min="8" max="8" width="1.1484375" style="0" customWidth="1"/>
    <col min="9" max="9" width="7.8515625" style="0" customWidth="1"/>
    <col min="10" max="10" width="1.28515625" style="0" customWidth="1"/>
    <col min="11" max="11" width="8.57421875" style="25" customWidth="1"/>
    <col min="12" max="12" width="1.1484375" style="0" customWidth="1"/>
    <col min="13" max="13" width="10.57421875" style="0" customWidth="1"/>
    <col min="14" max="14" width="1.28515625" style="0" customWidth="1"/>
    <col min="15" max="15" width="9.28125" style="0" customWidth="1"/>
    <col min="16" max="16" width="2.421875" style="0" customWidth="1"/>
    <col min="17" max="17" width="8.421875" style="0" customWidth="1"/>
    <col min="18" max="18" width="2.140625" style="0" customWidth="1"/>
    <col min="19" max="19" width="3.28125" style="0" customWidth="1"/>
  </cols>
  <sheetData>
    <row r="1" spans="1:9" ht="23.25">
      <c r="A1" s="2" t="s">
        <v>0</v>
      </c>
      <c r="G1" s="25"/>
      <c r="H1" s="25"/>
      <c r="I1" s="25"/>
    </row>
    <row r="2" spans="1:9" ht="15">
      <c r="A2" t="s">
        <v>137</v>
      </c>
      <c r="G2" s="25"/>
      <c r="H2" s="25"/>
      <c r="I2" s="25"/>
    </row>
    <row r="3" spans="1:9" ht="15">
      <c r="A3" s="1" t="s">
        <v>53</v>
      </c>
      <c r="G3" s="25"/>
      <c r="H3" s="25"/>
      <c r="I3" s="25"/>
    </row>
    <row r="4" spans="1:18" ht="15" customHeight="1">
      <c r="A4" s="78"/>
      <c r="B4" s="79"/>
      <c r="C4" s="79"/>
      <c r="D4" s="79"/>
      <c r="E4" s="79"/>
      <c r="F4" s="79"/>
      <c r="G4" s="80"/>
      <c r="H4" s="80"/>
      <c r="I4" s="80"/>
      <c r="J4" s="79"/>
      <c r="K4" s="80"/>
      <c r="L4" s="79"/>
      <c r="N4" s="79"/>
      <c r="O4" s="79"/>
      <c r="P4" s="79"/>
      <c r="Q4" s="79"/>
      <c r="R4" s="3"/>
    </row>
    <row r="5" spans="1:18" ht="9.75" customHeight="1">
      <c r="A5" s="79"/>
      <c r="B5" s="79"/>
      <c r="C5" s="79"/>
      <c r="D5" s="79"/>
      <c r="E5" s="79"/>
      <c r="F5" s="79"/>
      <c r="G5" s="80"/>
      <c r="H5" s="80"/>
      <c r="I5" s="80"/>
      <c r="J5" s="79"/>
      <c r="K5" s="80"/>
      <c r="L5" s="72"/>
      <c r="M5" s="177" t="s">
        <v>149</v>
      </c>
      <c r="N5" s="79"/>
      <c r="O5" s="81"/>
      <c r="P5" s="79"/>
      <c r="Q5" s="72"/>
      <c r="R5" s="3"/>
    </row>
    <row r="6" spans="1:18" ht="15" customHeight="1">
      <c r="A6" s="79"/>
      <c r="B6" s="78"/>
      <c r="C6" s="78"/>
      <c r="D6" s="78"/>
      <c r="E6" s="82"/>
      <c r="F6" s="78"/>
      <c r="G6" s="83"/>
      <c r="H6" s="83"/>
      <c r="I6" s="83"/>
      <c r="J6" s="78"/>
      <c r="K6" s="171" t="s">
        <v>54</v>
      </c>
      <c r="L6" s="39"/>
      <c r="M6" s="177"/>
      <c r="N6" s="84"/>
      <c r="O6" s="175" t="s">
        <v>51</v>
      </c>
      <c r="P6" s="5"/>
      <c r="Q6" s="177" t="s">
        <v>50</v>
      </c>
      <c r="R6" s="3"/>
    </row>
    <row r="7" spans="1:18" ht="15" customHeight="1">
      <c r="A7" s="78"/>
      <c r="B7" s="78"/>
      <c r="C7" s="78"/>
      <c r="D7" s="78"/>
      <c r="E7" s="178" t="s">
        <v>31</v>
      </c>
      <c r="F7" s="17"/>
      <c r="G7" s="180" t="s">
        <v>49</v>
      </c>
      <c r="H7" s="56"/>
      <c r="I7" s="180" t="s">
        <v>21</v>
      </c>
      <c r="J7" s="17"/>
      <c r="K7" s="171"/>
      <c r="L7" s="39"/>
      <c r="M7" s="177"/>
      <c r="N7" s="19"/>
      <c r="O7" s="175"/>
      <c r="P7" s="5"/>
      <c r="Q7" s="177"/>
      <c r="R7" s="3"/>
    </row>
    <row r="8" spans="1:18" ht="15">
      <c r="A8" s="78"/>
      <c r="B8" s="78"/>
      <c r="C8" s="78"/>
      <c r="D8" s="78"/>
      <c r="E8" s="178"/>
      <c r="F8" s="17"/>
      <c r="G8" s="180"/>
      <c r="H8" s="56"/>
      <c r="I8" s="180"/>
      <c r="J8" s="17"/>
      <c r="K8" s="171"/>
      <c r="L8" s="39"/>
      <c r="M8" s="177"/>
      <c r="N8" s="19"/>
      <c r="O8" s="175"/>
      <c r="P8" s="5"/>
      <c r="Q8" s="177"/>
      <c r="R8" s="3"/>
    </row>
    <row r="9" spans="1:18" ht="15">
      <c r="A9" s="168" t="s">
        <v>12</v>
      </c>
      <c r="B9" s="78"/>
      <c r="C9" s="168" t="s">
        <v>3</v>
      </c>
      <c r="D9" s="78"/>
      <c r="E9" s="178"/>
      <c r="F9" s="17"/>
      <c r="G9" s="180"/>
      <c r="H9" s="56"/>
      <c r="I9" s="180"/>
      <c r="J9" s="17"/>
      <c r="K9" s="171"/>
      <c r="L9" s="39"/>
      <c r="M9" s="177"/>
      <c r="N9" s="19"/>
      <c r="O9" s="175"/>
      <c r="P9" s="5"/>
      <c r="Q9" s="177"/>
      <c r="R9" s="3"/>
    </row>
    <row r="10" spans="1:18" ht="15.75" thickBot="1">
      <c r="A10" s="169"/>
      <c r="B10" s="85"/>
      <c r="C10" s="169"/>
      <c r="D10" s="85"/>
      <c r="E10" s="179"/>
      <c r="F10" s="18"/>
      <c r="G10" s="181"/>
      <c r="H10" s="57"/>
      <c r="I10" s="181"/>
      <c r="J10" s="18"/>
      <c r="K10" s="172"/>
      <c r="L10" s="40"/>
      <c r="M10" s="174"/>
      <c r="N10" s="20"/>
      <c r="O10" s="176"/>
      <c r="P10" s="9"/>
      <c r="Q10" s="174"/>
      <c r="R10" s="3"/>
    </row>
    <row r="11" spans="1:18" ht="12" customHeight="1">
      <c r="A11" s="79"/>
      <c r="B11" s="79"/>
      <c r="C11" s="79"/>
      <c r="D11" s="79"/>
      <c r="E11" s="79"/>
      <c r="F11" s="79"/>
      <c r="G11" s="80"/>
      <c r="H11" s="80"/>
      <c r="I11" s="80"/>
      <c r="J11" s="79"/>
      <c r="K11" s="80"/>
      <c r="L11" s="72"/>
      <c r="M11" s="72"/>
      <c r="N11" s="79"/>
      <c r="O11" s="81"/>
      <c r="P11" s="79"/>
      <c r="Q11" s="72"/>
      <c r="R11" s="3"/>
    </row>
    <row r="12" spans="1:18" ht="12" customHeight="1">
      <c r="A12" s="79">
        <v>1</v>
      </c>
      <c r="B12" s="79"/>
      <c r="C12" s="79">
        <v>2019</v>
      </c>
      <c r="D12" s="79"/>
      <c r="E12" s="80">
        <f>SUM(96*80*1300)</f>
        <v>9984000</v>
      </c>
      <c r="F12" s="79"/>
      <c r="G12" s="80">
        <f>SUM(E12/1300)</f>
        <v>7680</v>
      </c>
      <c r="H12" s="80"/>
      <c r="I12" s="79">
        <v>96</v>
      </c>
      <c r="J12" s="79"/>
      <c r="K12" s="80">
        <f>SUM(I12*56)</f>
        <v>5376</v>
      </c>
      <c r="L12" s="72"/>
      <c r="M12" s="72">
        <f>K12*48.67</f>
        <v>261649.92</v>
      </c>
      <c r="N12" s="79"/>
      <c r="O12" s="81">
        <f>SUM(M12/(1.07)^A12)</f>
        <v>244532.63551401868</v>
      </c>
      <c r="P12" s="79"/>
      <c r="Q12" s="72">
        <f>SUM(M12/(1.03)^A12)</f>
        <v>254029.04854368934</v>
      </c>
      <c r="R12" s="3"/>
    </row>
    <row r="13" spans="1:18" ht="12" customHeight="1">
      <c r="A13" s="79">
        <v>2</v>
      </c>
      <c r="B13" s="79"/>
      <c r="C13" s="79">
        <v>2020</v>
      </c>
      <c r="D13" s="79"/>
      <c r="E13" s="80">
        <f>SUM(96*80*1300)</f>
        <v>9984000</v>
      </c>
      <c r="F13" s="79"/>
      <c r="G13" s="80">
        <f aca="true" t="shared" si="0" ref="G13:G31">SUM(E13/1300)</f>
        <v>7680</v>
      </c>
      <c r="H13" s="80"/>
      <c r="I13" s="79">
        <v>96</v>
      </c>
      <c r="J13" s="79"/>
      <c r="K13" s="80">
        <f aca="true" t="shared" si="1" ref="K13:K31">SUM(I13*56)</f>
        <v>5376</v>
      </c>
      <c r="L13" s="72"/>
      <c r="M13" s="72">
        <f aca="true" t="shared" si="2" ref="M13:M31">K13*48.67</f>
        <v>261649.92</v>
      </c>
      <c r="N13" s="79"/>
      <c r="O13" s="81">
        <f aca="true" t="shared" si="3" ref="O13:O31">SUM(M13/(1.07)^A13)</f>
        <v>228535.17337758758</v>
      </c>
      <c r="P13" s="79"/>
      <c r="Q13" s="72">
        <f aca="true" t="shared" si="4" ref="Q13:Q31">SUM(M13/(1.03)^A13)</f>
        <v>246630.14421717412</v>
      </c>
      <c r="R13" s="3"/>
    </row>
    <row r="14" spans="1:18" ht="12" customHeight="1">
      <c r="A14" s="79">
        <v>3</v>
      </c>
      <c r="B14" s="79"/>
      <c r="C14" s="79">
        <v>2021</v>
      </c>
      <c r="D14" s="79"/>
      <c r="E14" s="80">
        <f>SUM(96*80*1300)</f>
        <v>9984000</v>
      </c>
      <c r="F14" s="79"/>
      <c r="G14" s="80">
        <f t="shared" si="0"/>
        <v>7680</v>
      </c>
      <c r="H14" s="80"/>
      <c r="I14" s="79">
        <v>96</v>
      </c>
      <c r="J14" s="79"/>
      <c r="K14" s="80">
        <f t="shared" si="1"/>
        <v>5376</v>
      </c>
      <c r="L14" s="72"/>
      <c r="M14" s="72">
        <f t="shared" si="2"/>
        <v>261649.92</v>
      </c>
      <c r="N14" s="79"/>
      <c r="O14" s="81">
        <f t="shared" si="3"/>
        <v>213584.27418466128</v>
      </c>
      <c r="P14" s="79"/>
      <c r="Q14" s="72">
        <f t="shared" si="4"/>
        <v>239446.74195842145</v>
      </c>
      <c r="R14" s="3"/>
    </row>
    <row r="15" spans="1:18" ht="12" customHeight="1">
      <c r="A15" s="79">
        <v>4</v>
      </c>
      <c r="B15" s="79"/>
      <c r="C15" s="79">
        <v>2022</v>
      </c>
      <c r="D15" s="79"/>
      <c r="E15" s="80">
        <f>SUM(96*80*1300)</f>
        <v>9984000</v>
      </c>
      <c r="F15" s="79"/>
      <c r="G15" s="80">
        <f t="shared" si="0"/>
        <v>7680</v>
      </c>
      <c r="H15" s="80"/>
      <c r="I15" s="79">
        <v>96</v>
      </c>
      <c r="J15" s="79"/>
      <c r="K15" s="80">
        <f t="shared" si="1"/>
        <v>5376</v>
      </c>
      <c r="L15" s="72"/>
      <c r="M15" s="72">
        <f t="shared" si="2"/>
        <v>261649.92</v>
      </c>
      <c r="N15" s="79"/>
      <c r="O15" s="81">
        <f t="shared" si="3"/>
        <v>199611.47120061802</v>
      </c>
      <c r="P15" s="79"/>
      <c r="Q15" s="72">
        <f t="shared" si="4"/>
        <v>232472.5650081762</v>
      </c>
      <c r="R15" s="3"/>
    </row>
    <row r="16" spans="1:18" ht="12" customHeight="1">
      <c r="A16" s="79">
        <v>5</v>
      </c>
      <c r="B16" s="79"/>
      <c r="C16" s="79">
        <v>2023</v>
      </c>
      <c r="D16" s="79"/>
      <c r="E16" s="80">
        <f>SUM(192*80*1300)</f>
        <v>19968000</v>
      </c>
      <c r="F16" s="79"/>
      <c r="G16" s="80">
        <f t="shared" si="0"/>
        <v>15360</v>
      </c>
      <c r="H16" s="80"/>
      <c r="I16" s="79">
        <v>192</v>
      </c>
      <c r="J16" s="79"/>
      <c r="K16" s="80">
        <f t="shared" si="1"/>
        <v>10752</v>
      </c>
      <c r="L16" s="72"/>
      <c r="M16" s="72">
        <f t="shared" si="2"/>
        <v>523299.84</v>
      </c>
      <c r="N16" s="79"/>
      <c r="O16" s="81">
        <f t="shared" si="3"/>
        <v>373105.55364601495</v>
      </c>
      <c r="P16" s="79"/>
      <c r="Q16" s="72">
        <f t="shared" si="4"/>
        <v>451403.0388508276</v>
      </c>
      <c r="R16" s="3"/>
    </row>
    <row r="17" spans="1:18" ht="12" customHeight="1">
      <c r="A17" s="79">
        <v>6</v>
      </c>
      <c r="B17" s="79"/>
      <c r="C17" s="79">
        <v>2024</v>
      </c>
      <c r="D17" s="79"/>
      <c r="E17" s="80">
        <f>SUM(192*80*1300)</f>
        <v>19968000</v>
      </c>
      <c r="F17" s="79"/>
      <c r="G17" s="80">
        <f t="shared" si="0"/>
        <v>15360</v>
      </c>
      <c r="H17" s="80"/>
      <c r="I17" s="79">
        <v>192</v>
      </c>
      <c r="J17" s="79"/>
      <c r="K17" s="80">
        <f t="shared" si="1"/>
        <v>10752</v>
      </c>
      <c r="L17" s="72"/>
      <c r="M17" s="72">
        <f t="shared" si="2"/>
        <v>523299.84</v>
      </c>
      <c r="N17" s="79"/>
      <c r="O17" s="81">
        <f t="shared" si="3"/>
        <v>348696.7791084252</v>
      </c>
      <c r="P17" s="79"/>
      <c r="Q17" s="72">
        <f t="shared" si="4"/>
        <v>438255.3775250753</v>
      </c>
      <c r="R17" s="3"/>
    </row>
    <row r="18" spans="1:18" ht="12" customHeight="1">
      <c r="A18" s="79">
        <v>7</v>
      </c>
      <c r="B18" s="79"/>
      <c r="C18" s="79">
        <v>2025</v>
      </c>
      <c r="D18" s="79"/>
      <c r="E18" s="80">
        <f>SUM(192*80*1300)</f>
        <v>19968000</v>
      </c>
      <c r="F18" s="79"/>
      <c r="G18" s="80">
        <f t="shared" si="0"/>
        <v>15360</v>
      </c>
      <c r="H18" s="80"/>
      <c r="I18" s="79">
        <v>192</v>
      </c>
      <c r="J18" s="79"/>
      <c r="K18" s="80">
        <f t="shared" si="1"/>
        <v>10752</v>
      </c>
      <c r="L18" s="72"/>
      <c r="M18" s="72">
        <f t="shared" si="2"/>
        <v>523299.84</v>
      </c>
      <c r="N18" s="79"/>
      <c r="O18" s="81">
        <f t="shared" si="3"/>
        <v>325884.84028824785</v>
      </c>
      <c r="P18" s="79"/>
      <c r="Q18" s="72">
        <f t="shared" si="4"/>
        <v>425490.65779133525</v>
      </c>
      <c r="R18" s="3"/>
    </row>
    <row r="19" spans="1:18" ht="12" customHeight="1">
      <c r="A19" s="79">
        <v>8</v>
      </c>
      <c r="B19" s="79"/>
      <c r="C19" s="79">
        <v>2026</v>
      </c>
      <c r="D19" s="79"/>
      <c r="E19" s="80">
        <f>SUM(200*80*1300)</f>
        <v>20800000</v>
      </c>
      <c r="F19" s="79"/>
      <c r="G19" s="80">
        <f t="shared" si="0"/>
        <v>16000</v>
      </c>
      <c r="H19" s="80"/>
      <c r="I19" s="79">
        <v>200</v>
      </c>
      <c r="J19" s="79"/>
      <c r="K19" s="80">
        <f t="shared" si="1"/>
        <v>11200</v>
      </c>
      <c r="L19" s="72"/>
      <c r="M19" s="72">
        <f t="shared" si="2"/>
        <v>545104</v>
      </c>
      <c r="N19" s="79"/>
      <c r="O19" s="81">
        <f t="shared" si="3"/>
        <v>317255.49093482073</v>
      </c>
      <c r="P19" s="79"/>
      <c r="Q19" s="72">
        <f t="shared" si="4"/>
        <v>430310.1312614636</v>
      </c>
      <c r="R19" s="3"/>
    </row>
    <row r="20" spans="1:18" ht="12" customHeight="1">
      <c r="A20" s="79">
        <v>9</v>
      </c>
      <c r="B20" s="79"/>
      <c r="C20" s="79">
        <v>2027</v>
      </c>
      <c r="D20" s="79"/>
      <c r="E20" s="80">
        <f>SUM(200*80*1300)</f>
        <v>20800000</v>
      </c>
      <c r="F20" s="79"/>
      <c r="G20" s="80">
        <f t="shared" si="0"/>
        <v>16000</v>
      </c>
      <c r="H20" s="80"/>
      <c r="I20" s="79">
        <v>200</v>
      </c>
      <c r="J20" s="79"/>
      <c r="K20" s="80">
        <f t="shared" si="1"/>
        <v>11200</v>
      </c>
      <c r="L20" s="72"/>
      <c r="M20" s="72">
        <f t="shared" si="2"/>
        <v>545104</v>
      </c>
      <c r="N20" s="79"/>
      <c r="O20" s="81">
        <f t="shared" si="3"/>
        <v>296500.4588175894</v>
      </c>
      <c r="P20" s="79"/>
      <c r="Q20" s="72">
        <f t="shared" si="4"/>
        <v>417776.8264674404</v>
      </c>
      <c r="R20" s="3"/>
    </row>
    <row r="21" spans="1:18" ht="12" customHeight="1">
      <c r="A21" s="79">
        <v>10</v>
      </c>
      <c r="B21" s="79"/>
      <c r="C21" s="79">
        <v>2028</v>
      </c>
      <c r="D21" s="79"/>
      <c r="E21" s="80">
        <f>SUM(200*80*1300)</f>
        <v>20800000</v>
      </c>
      <c r="F21" s="79"/>
      <c r="G21" s="80">
        <f t="shared" si="0"/>
        <v>16000</v>
      </c>
      <c r="H21" s="80"/>
      <c r="I21" s="79">
        <v>200</v>
      </c>
      <c r="J21" s="79"/>
      <c r="K21" s="80">
        <f t="shared" si="1"/>
        <v>11200</v>
      </c>
      <c r="L21" s="72"/>
      <c r="M21" s="72">
        <f t="shared" si="2"/>
        <v>545104</v>
      </c>
      <c r="N21" s="79"/>
      <c r="O21" s="81">
        <f t="shared" si="3"/>
        <v>277103.2325398032</v>
      </c>
      <c r="P21" s="79"/>
      <c r="Q21" s="72">
        <f t="shared" si="4"/>
        <v>405608.5693858645</v>
      </c>
      <c r="R21" s="3"/>
    </row>
    <row r="22" spans="1:18" ht="12" customHeight="1">
      <c r="A22" s="79">
        <v>11</v>
      </c>
      <c r="B22" s="79"/>
      <c r="C22" s="79">
        <v>2029</v>
      </c>
      <c r="D22" s="79"/>
      <c r="E22" s="80">
        <f>SUM(216*80*1300)</f>
        <v>22464000</v>
      </c>
      <c r="F22" s="79"/>
      <c r="G22" s="80">
        <f t="shared" si="0"/>
        <v>17280</v>
      </c>
      <c r="H22" s="80"/>
      <c r="I22" s="79">
        <v>216</v>
      </c>
      <c r="J22" s="79"/>
      <c r="K22" s="80">
        <f t="shared" si="1"/>
        <v>12096</v>
      </c>
      <c r="L22" s="72"/>
      <c r="M22" s="72">
        <f t="shared" si="2"/>
        <v>588712.3200000001</v>
      </c>
      <c r="N22" s="79"/>
      <c r="O22" s="81">
        <f t="shared" si="3"/>
        <v>279692.9823766238</v>
      </c>
      <c r="P22" s="79"/>
      <c r="Q22" s="72">
        <f t="shared" si="4"/>
        <v>425298.3057638191</v>
      </c>
      <c r="R22" s="3"/>
    </row>
    <row r="23" spans="1:18" ht="12" customHeight="1">
      <c r="A23" s="79">
        <v>12</v>
      </c>
      <c r="B23" s="79"/>
      <c r="C23" s="79">
        <v>2030</v>
      </c>
      <c r="D23" s="79"/>
      <c r="E23" s="80">
        <f>SUM(216*80*1300)</f>
        <v>22464000</v>
      </c>
      <c r="F23" s="79"/>
      <c r="G23" s="80">
        <f t="shared" si="0"/>
        <v>17280</v>
      </c>
      <c r="H23" s="80"/>
      <c r="I23" s="79">
        <v>216</v>
      </c>
      <c r="J23" s="79"/>
      <c r="K23" s="80">
        <f t="shared" si="1"/>
        <v>12096</v>
      </c>
      <c r="L23" s="72"/>
      <c r="M23" s="72">
        <f t="shared" si="2"/>
        <v>588712.3200000001</v>
      </c>
      <c r="N23" s="79"/>
      <c r="O23" s="81">
        <f t="shared" si="3"/>
        <v>261395.31063235874</v>
      </c>
      <c r="P23" s="79"/>
      <c r="Q23" s="72">
        <f t="shared" si="4"/>
        <v>412910.97646972735</v>
      </c>
      <c r="R23" s="3"/>
    </row>
    <row r="24" spans="1:18" ht="12" customHeight="1">
      <c r="A24" s="79">
        <v>13</v>
      </c>
      <c r="B24" s="79"/>
      <c r="C24" s="79">
        <v>2031</v>
      </c>
      <c r="D24" s="79"/>
      <c r="E24" s="80">
        <f>SUM(216*80*1300)</f>
        <v>22464000</v>
      </c>
      <c r="F24" s="79"/>
      <c r="G24" s="80">
        <f t="shared" si="0"/>
        <v>17280</v>
      </c>
      <c r="H24" s="80"/>
      <c r="I24" s="79">
        <v>216</v>
      </c>
      <c r="J24" s="79"/>
      <c r="K24" s="80">
        <f t="shared" si="1"/>
        <v>12096</v>
      </c>
      <c r="L24" s="72"/>
      <c r="M24" s="72">
        <f t="shared" si="2"/>
        <v>588712.3200000001</v>
      </c>
      <c r="N24" s="79"/>
      <c r="O24" s="81">
        <f t="shared" si="3"/>
        <v>244294.6828339801</v>
      </c>
      <c r="P24" s="79"/>
      <c r="Q24" s="72">
        <f t="shared" si="4"/>
        <v>400884.44317449257</v>
      </c>
      <c r="R24" s="3"/>
    </row>
    <row r="25" spans="1:18" ht="12" customHeight="1">
      <c r="A25" s="79">
        <v>14</v>
      </c>
      <c r="B25" s="79"/>
      <c r="C25" s="79">
        <v>2032</v>
      </c>
      <c r="D25" s="79"/>
      <c r="E25" s="80">
        <f>SUM(216*80*1300)</f>
        <v>22464000</v>
      </c>
      <c r="F25" s="79"/>
      <c r="G25" s="80">
        <f t="shared" si="0"/>
        <v>17280</v>
      </c>
      <c r="H25" s="80"/>
      <c r="I25" s="79">
        <v>216</v>
      </c>
      <c r="J25" s="79"/>
      <c r="K25" s="80">
        <f t="shared" si="1"/>
        <v>12096</v>
      </c>
      <c r="L25" s="72"/>
      <c r="M25" s="72">
        <f t="shared" si="2"/>
        <v>588712.3200000001</v>
      </c>
      <c r="N25" s="79"/>
      <c r="O25" s="81">
        <f t="shared" si="3"/>
        <v>228312.78769530854</v>
      </c>
      <c r="P25" s="79"/>
      <c r="Q25" s="72">
        <f t="shared" si="4"/>
        <v>389208.1972567889</v>
      </c>
      <c r="R25" s="3"/>
    </row>
    <row r="26" spans="1:18" ht="12" customHeight="1">
      <c r="A26" s="79">
        <v>15</v>
      </c>
      <c r="B26" s="79"/>
      <c r="C26" s="79">
        <v>2033</v>
      </c>
      <c r="D26" s="79"/>
      <c r="E26" s="80">
        <f>SUM(224*80*1300)</f>
        <v>23296000</v>
      </c>
      <c r="F26" s="79"/>
      <c r="G26" s="80">
        <f t="shared" si="0"/>
        <v>17920</v>
      </c>
      <c r="H26" s="80"/>
      <c r="I26" s="79">
        <v>224</v>
      </c>
      <c r="J26" s="79"/>
      <c r="K26" s="80">
        <f t="shared" si="1"/>
        <v>12544</v>
      </c>
      <c r="L26" s="72"/>
      <c r="M26" s="72">
        <f t="shared" si="2"/>
        <v>610516.48</v>
      </c>
      <c r="N26" s="79"/>
      <c r="O26" s="81">
        <f t="shared" si="3"/>
        <v>221279.2681020643</v>
      </c>
      <c r="P26" s="79"/>
      <c r="Q26" s="72">
        <f t="shared" si="4"/>
        <v>391867.29677058925</v>
      </c>
      <c r="R26" s="3"/>
    </row>
    <row r="27" spans="1:18" ht="12" customHeight="1">
      <c r="A27" s="79">
        <v>16</v>
      </c>
      <c r="B27" s="79"/>
      <c r="C27" s="79">
        <v>2034</v>
      </c>
      <c r="D27" s="79"/>
      <c r="E27" s="80">
        <f>SUM(224*80*1300)</f>
        <v>23296000</v>
      </c>
      <c r="F27" s="79"/>
      <c r="G27" s="80">
        <f t="shared" si="0"/>
        <v>17920</v>
      </c>
      <c r="H27" s="80"/>
      <c r="I27" s="79">
        <v>224</v>
      </c>
      <c r="J27" s="79"/>
      <c r="K27" s="80">
        <f t="shared" si="1"/>
        <v>12544</v>
      </c>
      <c r="L27" s="72"/>
      <c r="M27" s="72">
        <f t="shared" si="2"/>
        <v>610516.48</v>
      </c>
      <c r="N27" s="79"/>
      <c r="O27" s="81">
        <f t="shared" si="3"/>
        <v>206803.05430099467</v>
      </c>
      <c r="P27" s="79"/>
      <c r="Q27" s="72">
        <f t="shared" si="4"/>
        <v>380453.6861850382</v>
      </c>
      <c r="R27" s="3"/>
    </row>
    <row r="28" spans="1:18" ht="12" customHeight="1">
      <c r="A28" s="79">
        <v>17</v>
      </c>
      <c r="B28" s="79"/>
      <c r="C28" s="79">
        <v>2035</v>
      </c>
      <c r="D28" s="79"/>
      <c r="E28" s="80">
        <f>SUM(224*80*1300)</f>
        <v>23296000</v>
      </c>
      <c r="F28" s="79"/>
      <c r="G28" s="80">
        <f t="shared" si="0"/>
        <v>17920</v>
      </c>
      <c r="H28" s="80"/>
      <c r="I28" s="79">
        <v>224</v>
      </c>
      <c r="J28" s="79"/>
      <c r="K28" s="80">
        <f t="shared" si="1"/>
        <v>12544</v>
      </c>
      <c r="L28" s="72"/>
      <c r="M28" s="72">
        <f t="shared" si="2"/>
        <v>610516.48</v>
      </c>
      <c r="N28" s="79"/>
      <c r="O28" s="81">
        <f t="shared" si="3"/>
        <v>193273.88252429408</v>
      </c>
      <c r="P28" s="79"/>
      <c r="Q28" s="72">
        <f t="shared" si="4"/>
        <v>369372.51085926034</v>
      </c>
      <c r="R28" s="3"/>
    </row>
    <row r="29" spans="1:18" ht="12" customHeight="1">
      <c r="A29" s="79">
        <v>18</v>
      </c>
      <c r="B29" s="79"/>
      <c r="C29" s="79">
        <v>2036</v>
      </c>
      <c r="D29" s="79"/>
      <c r="E29" s="80">
        <f>SUM(231*80*1300)</f>
        <v>24024000</v>
      </c>
      <c r="F29" s="79"/>
      <c r="G29" s="80">
        <f t="shared" si="0"/>
        <v>18480</v>
      </c>
      <c r="H29" s="80"/>
      <c r="I29" s="79">
        <v>231</v>
      </c>
      <c r="J29" s="79"/>
      <c r="K29" s="80">
        <f t="shared" si="1"/>
        <v>12936</v>
      </c>
      <c r="L29" s="72"/>
      <c r="M29" s="72">
        <f t="shared" si="2"/>
        <v>629595.12</v>
      </c>
      <c r="N29" s="79"/>
      <c r="O29" s="81">
        <f t="shared" si="3"/>
        <v>186274.47790016662</v>
      </c>
      <c r="P29" s="79"/>
      <c r="Q29" s="72">
        <f t="shared" si="4"/>
        <v>369820.77846952644</v>
      </c>
      <c r="R29" s="3"/>
    </row>
    <row r="30" spans="1:18" ht="12" customHeight="1">
      <c r="A30" s="79">
        <v>19</v>
      </c>
      <c r="B30" s="79"/>
      <c r="C30" s="79">
        <v>2037</v>
      </c>
      <c r="D30" s="79"/>
      <c r="E30" s="80">
        <f>SUM(231*80*1300)</f>
        <v>24024000</v>
      </c>
      <c r="F30" s="79"/>
      <c r="G30" s="80">
        <f t="shared" si="0"/>
        <v>18480</v>
      </c>
      <c r="H30" s="80"/>
      <c r="I30" s="79">
        <v>231</v>
      </c>
      <c r="J30" s="79"/>
      <c r="K30" s="80">
        <f t="shared" si="1"/>
        <v>12936</v>
      </c>
      <c r="L30" s="72"/>
      <c r="M30" s="72">
        <f t="shared" si="2"/>
        <v>629595.12</v>
      </c>
      <c r="N30" s="79"/>
      <c r="O30" s="81">
        <f t="shared" si="3"/>
        <v>174088.29710295945</v>
      </c>
      <c r="P30" s="79"/>
      <c r="Q30" s="72">
        <f t="shared" si="4"/>
        <v>359049.29948497715</v>
      </c>
      <c r="R30" s="3"/>
    </row>
    <row r="31" spans="1:18" ht="12" customHeight="1">
      <c r="A31" s="79">
        <v>20</v>
      </c>
      <c r="B31" s="79"/>
      <c r="C31" s="79">
        <v>2038</v>
      </c>
      <c r="D31" s="44"/>
      <c r="E31" s="90">
        <f>SUM(231*80*1300)</f>
        <v>24024000</v>
      </c>
      <c r="F31" s="44"/>
      <c r="G31" s="90">
        <f t="shared" si="0"/>
        <v>18480</v>
      </c>
      <c r="H31" s="90"/>
      <c r="I31" s="44">
        <v>231</v>
      </c>
      <c r="J31" s="44"/>
      <c r="K31" s="90">
        <f t="shared" si="1"/>
        <v>12936</v>
      </c>
      <c r="L31" s="73"/>
      <c r="M31" s="73">
        <f t="shared" si="2"/>
        <v>629595.12</v>
      </c>
      <c r="N31" s="44"/>
      <c r="O31" s="86">
        <f t="shared" si="3"/>
        <v>162699.343086878</v>
      </c>
      <c r="P31" s="44"/>
      <c r="Q31" s="73">
        <f t="shared" si="4"/>
        <v>348591.5528980361</v>
      </c>
      <c r="R31" s="3"/>
    </row>
    <row r="32" spans="1:18" ht="9" customHeight="1">
      <c r="A32" s="79"/>
      <c r="B32" s="79"/>
      <c r="C32" s="79"/>
      <c r="D32" s="79"/>
      <c r="E32" s="79"/>
      <c r="F32" s="79"/>
      <c r="G32" s="80"/>
      <c r="H32" s="80"/>
      <c r="I32" s="80"/>
      <c r="J32" s="79"/>
      <c r="K32" s="80"/>
      <c r="L32" s="72"/>
      <c r="M32" s="72"/>
      <c r="N32" s="79"/>
      <c r="O32" s="81"/>
      <c r="P32" s="79"/>
      <c r="Q32" s="72"/>
      <c r="R32" s="3"/>
    </row>
    <row r="33" spans="1:18" ht="15.75" thickBot="1">
      <c r="A33" s="79"/>
      <c r="B33" s="79"/>
      <c r="C33" s="79"/>
      <c r="D33" s="79"/>
      <c r="E33" s="79"/>
      <c r="F33" s="79"/>
      <c r="G33" s="80"/>
      <c r="H33" s="80"/>
      <c r="I33" s="80"/>
      <c r="J33" s="78"/>
      <c r="K33" s="83"/>
      <c r="L33" s="88"/>
      <c r="M33" s="88">
        <f>SUM(M12:M32)</f>
        <v>10326995.28</v>
      </c>
      <c r="N33" s="88"/>
      <c r="O33" s="88">
        <f>SUM(O12:O31)</f>
        <v>4982923.996167417</v>
      </c>
      <c r="P33" s="88"/>
      <c r="Q33" s="88">
        <f>SUM(Q12:Q31)</f>
        <v>7388880.148341724</v>
      </c>
      <c r="R33" s="74"/>
    </row>
    <row r="34" spans="1:18" ht="9.75" customHeight="1" thickTop="1">
      <c r="A34" s="3"/>
      <c r="B34" s="3"/>
      <c r="C34" s="3"/>
      <c r="D34" s="3"/>
      <c r="E34" s="3"/>
      <c r="F34" s="3"/>
      <c r="G34" s="26"/>
      <c r="H34" s="26"/>
      <c r="I34" s="26"/>
      <c r="J34" s="3"/>
      <c r="K34" s="26"/>
      <c r="L34" s="59"/>
      <c r="M34" s="59"/>
      <c r="N34" s="3"/>
      <c r="O34" s="13"/>
      <c r="P34" s="3"/>
      <c r="Q34" s="59"/>
      <c r="R34" s="3"/>
    </row>
    <row r="35" spans="1:18" ht="15">
      <c r="A35" s="3"/>
      <c r="B35" s="76" t="s">
        <v>25</v>
      </c>
      <c r="C35" s="3"/>
      <c r="D35" s="3"/>
      <c r="E35" s="3"/>
      <c r="F35" s="3"/>
      <c r="G35" s="26"/>
      <c r="H35" s="26"/>
      <c r="I35" s="26"/>
      <c r="J35" s="3"/>
      <c r="K35" s="26"/>
      <c r="L35" s="59"/>
      <c r="M35" s="59"/>
      <c r="N35" s="3"/>
      <c r="O35" s="13"/>
      <c r="P35" s="3"/>
      <c r="Q35" s="59"/>
      <c r="R35" s="3"/>
    </row>
    <row r="36" spans="1:18" ht="15">
      <c r="A36" s="3"/>
      <c r="B36" s="124" t="s">
        <v>150</v>
      </c>
      <c r="C36" s="3"/>
      <c r="D36" s="3"/>
      <c r="E36" s="3"/>
      <c r="F36" s="3"/>
      <c r="G36" s="26"/>
      <c r="H36" s="26"/>
      <c r="I36" s="26"/>
      <c r="J36" s="3"/>
      <c r="K36" s="26"/>
      <c r="L36" s="59"/>
      <c r="M36" s="59"/>
      <c r="N36" s="3"/>
      <c r="O36" s="13"/>
      <c r="P36" s="3"/>
      <c r="Q36" s="59"/>
      <c r="R36" s="3"/>
    </row>
    <row r="37" spans="1:18" ht="15">
      <c r="A37" s="3"/>
      <c r="B37" s="156" t="s">
        <v>162</v>
      </c>
      <c r="C37" s="157"/>
      <c r="D37" s="157"/>
      <c r="E37" s="157"/>
      <c r="F37" s="157"/>
      <c r="G37" s="158"/>
      <c r="H37" s="158"/>
      <c r="I37" s="26"/>
      <c r="J37" s="3"/>
      <c r="K37" s="26"/>
      <c r="L37" s="59"/>
      <c r="M37" s="59"/>
      <c r="N37" s="3"/>
      <c r="O37" s="13"/>
      <c r="P37" s="3"/>
      <c r="Q37" s="59"/>
      <c r="R37" s="3"/>
    </row>
    <row r="38" spans="1:18" ht="15">
      <c r="A38" s="3"/>
      <c r="B38" s="77" t="s">
        <v>163</v>
      </c>
      <c r="C38" s="3"/>
      <c r="D38" s="3"/>
      <c r="E38" s="3"/>
      <c r="F38" s="3"/>
      <c r="G38" s="26"/>
      <c r="H38" s="26"/>
      <c r="I38" s="26"/>
      <c r="J38" s="3"/>
      <c r="K38" s="26"/>
      <c r="L38" s="59"/>
      <c r="M38" s="59"/>
      <c r="N38" s="3"/>
      <c r="O38" s="13"/>
      <c r="P38" s="3"/>
      <c r="Q38" s="59"/>
      <c r="R38" s="3"/>
    </row>
    <row r="39" spans="1:18" ht="15">
      <c r="A39" s="3"/>
      <c r="B39" s="77" t="s">
        <v>165</v>
      </c>
      <c r="C39" s="3"/>
      <c r="D39" s="3"/>
      <c r="E39" s="3"/>
      <c r="F39" s="3"/>
      <c r="G39" s="26"/>
      <c r="H39" s="26"/>
      <c r="I39" s="26"/>
      <c r="J39" s="3"/>
      <c r="K39" s="26"/>
      <c r="L39" s="59"/>
      <c r="M39" s="59"/>
      <c r="N39" s="3"/>
      <c r="O39" s="13"/>
      <c r="P39" s="3"/>
      <c r="Q39" s="59"/>
      <c r="R39" s="3"/>
    </row>
    <row r="40" spans="1:18" ht="15">
      <c r="A40" s="3"/>
      <c r="B40" s="77" t="s">
        <v>148</v>
      </c>
      <c r="C40" s="3"/>
      <c r="D40" s="3"/>
      <c r="E40" s="3"/>
      <c r="F40" s="3"/>
      <c r="G40" s="26"/>
      <c r="H40" s="26"/>
      <c r="I40" s="26"/>
      <c r="J40" s="3"/>
      <c r="K40" s="26"/>
      <c r="L40" s="59"/>
      <c r="M40" s="59"/>
      <c r="N40" s="3"/>
      <c r="O40" s="13"/>
      <c r="P40" s="3"/>
      <c r="Q40" s="59"/>
      <c r="R40" s="3"/>
    </row>
    <row r="41" spans="1:18" ht="15">
      <c r="A41" s="3"/>
      <c r="B41" s="77" t="s">
        <v>52</v>
      </c>
      <c r="C41" s="3"/>
      <c r="D41" s="3"/>
      <c r="E41" s="3"/>
      <c r="F41" s="3"/>
      <c r="G41" s="26"/>
      <c r="H41" s="26"/>
      <c r="I41" s="26"/>
      <c r="J41" s="3"/>
      <c r="K41" s="26"/>
      <c r="L41" s="59"/>
      <c r="M41" s="59"/>
      <c r="N41" s="3"/>
      <c r="O41" s="13"/>
      <c r="P41" s="3"/>
      <c r="Q41" s="59"/>
      <c r="R41" s="3"/>
    </row>
    <row r="42" spans="1:18" ht="15">
      <c r="A42" s="3"/>
      <c r="B42" s="77" t="s">
        <v>9</v>
      </c>
      <c r="C42" s="3"/>
      <c r="D42" s="3"/>
      <c r="E42" s="3"/>
      <c r="F42" s="3"/>
      <c r="G42" s="26"/>
      <c r="H42" s="26"/>
      <c r="I42" s="26"/>
      <c r="J42" s="3"/>
      <c r="K42" s="26"/>
      <c r="L42" s="59"/>
      <c r="M42" s="59"/>
      <c r="N42" s="3"/>
      <c r="O42" s="13"/>
      <c r="P42" s="3"/>
      <c r="Q42" s="59"/>
      <c r="R42" s="3"/>
    </row>
    <row r="43" spans="1:18" ht="15">
      <c r="A43" s="3"/>
      <c r="B43" s="77" t="s">
        <v>55</v>
      </c>
      <c r="C43" s="3"/>
      <c r="D43" s="3"/>
      <c r="E43" s="3"/>
      <c r="F43" s="3"/>
      <c r="G43" s="26"/>
      <c r="H43" s="26"/>
      <c r="I43" s="26"/>
      <c r="J43" s="3"/>
      <c r="K43" s="26"/>
      <c r="L43" s="59"/>
      <c r="M43" s="59"/>
      <c r="N43" s="3"/>
      <c r="O43" s="13"/>
      <c r="P43" s="3"/>
      <c r="Q43" s="59"/>
      <c r="R43" s="3"/>
    </row>
    <row r="44" spans="1:18" ht="15">
      <c r="A44" s="3"/>
      <c r="B44" s="3"/>
      <c r="C44" s="3" t="s">
        <v>151</v>
      </c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  <c r="P44" s="3"/>
      <c r="Q44" s="3"/>
      <c r="R44" s="3"/>
    </row>
    <row r="45" spans="1:18" ht="15">
      <c r="A45" s="3"/>
      <c r="B45" s="77" t="s">
        <v>153</v>
      </c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  <c r="P45" s="3"/>
      <c r="Q45" s="3"/>
      <c r="R45" s="3"/>
    </row>
    <row r="46" spans="1:18" ht="15">
      <c r="A46" s="3"/>
      <c r="B46" s="3"/>
      <c r="C46" s="3" t="s">
        <v>56</v>
      </c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  <c r="P46" s="3"/>
      <c r="Q46" s="3"/>
      <c r="R46" s="3"/>
    </row>
    <row r="47" spans="1:18" ht="15">
      <c r="A47" s="3"/>
      <c r="B47" s="3"/>
      <c r="C47" s="3" t="s">
        <v>95</v>
      </c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  <c r="P47" s="3"/>
      <c r="Q47" s="3"/>
      <c r="R47" s="3"/>
    </row>
    <row r="48" spans="1:18" ht="15">
      <c r="A48" s="3"/>
      <c r="B48" s="3"/>
      <c r="C48" s="3" t="s">
        <v>152</v>
      </c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  <c r="P48" s="3"/>
      <c r="Q48" s="3"/>
      <c r="R48" s="3"/>
    </row>
    <row r="49" spans="1:1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  <c r="P49" s="3"/>
      <c r="Q49" s="3"/>
      <c r="R49" s="3"/>
    </row>
    <row r="50" spans="1:18" ht="15">
      <c r="A50" s="3"/>
      <c r="B50" s="170" t="s">
        <v>38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</row>
    <row r="52" spans="2:17" ht="15">
      <c r="B52" s="11"/>
      <c r="G52" s="25"/>
      <c r="H52" s="25"/>
      <c r="I52" s="25"/>
      <c r="L52" s="37"/>
      <c r="M52" s="37"/>
      <c r="O52" s="14"/>
      <c r="Q52" s="37"/>
    </row>
    <row r="53" spans="2:17" ht="15">
      <c r="B53" s="11"/>
      <c r="G53" s="25"/>
      <c r="H53" s="25"/>
      <c r="I53" s="25"/>
      <c r="L53" s="37"/>
      <c r="M53" s="37"/>
      <c r="O53" s="14"/>
      <c r="Q53" s="37"/>
    </row>
  </sheetData>
  <sheetProtection/>
  <mergeCells count="10">
    <mergeCell ref="A9:A10"/>
    <mergeCell ref="C9:C10"/>
    <mergeCell ref="B50:R50"/>
    <mergeCell ref="I7:I10"/>
    <mergeCell ref="M5:M10"/>
    <mergeCell ref="K6:K10"/>
    <mergeCell ref="O6:O10"/>
    <mergeCell ref="Q6:Q10"/>
    <mergeCell ref="E7:E10"/>
    <mergeCell ref="G7:G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140" zoomScaleNormal="140" zoomScalePageLayoutView="0" workbookViewId="0" topLeftCell="A1">
      <selection activeCell="A1" sqref="A1:N41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3" width="8.28125" style="0" customWidth="1"/>
    <col min="4" max="4" width="2.421875" style="0" customWidth="1"/>
    <col min="5" max="5" width="10.140625" style="0" customWidth="1"/>
    <col min="6" max="6" width="1.57421875" style="0" customWidth="1"/>
    <col min="7" max="7" width="11.140625" style="25" bestFit="1" customWidth="1"/>
    <col min="8" max="8" width="2.140625" style="0" customWidth="1"/>
    <col min="9" max="9" width="14.00390625" style="0" customWidth="1"/>
    <col min="10" max="10" width="1.1484375" style="0" customWidth="1"/>
    <col min="11" max="11" width="13.421875" style="0" customWidth="1"/>
    <col min="12" max="12" width="2.140625" style="0" customWidth="1"/>
    <col min="13" max="13" width="11.8515625" style="0" customWidth="1"/>
    <col min="14" max="14" width="4.28125" style="0" customWidth="1"/>
    <col min="15" max="15" width="3.421875" style="0" customWidth="1"/>
    <col min="16" max="16" width="6.140625" style="0" customWidth="1"/>
    <col min="17" max="17" width="3.8515625" style="0" customWidth="1"/>
    <col min="18" max="18" width="5.8515625" style="0" customWidth="1"/>
  </cols>
  <sheetData>
    <row r="1" spans="1:13" ht="23.25">
      <c r="A1" s="2" t="s">
        <v>0</v>
      </c>
      <c r="I1" s="37"/>
      <c r="K1" s="14"/>
      <c r="M1" s="37"/>
    </row>
    <row r="2" spans="1:13" ht="15">
      <c r="A2" t="s">
        <v>137</v>
      </c>
      <c r="I2" s="37"/>
      <c r="K2" s="14"/>
      <c r="M2" s="37"/>
    </row>
    <row r="3" spans="1:13" ht="15">
      <c r="A3" s="1" t="s">
        <v>57</v>
      </c>
      <c r="I3" s="37"/>
      <c r="K3" s="14"/>
      <c r="M3" s="37"/>
    </row>
    <row r="4" spans="9:13" ht="15">
      <c r="I4" s="37"/>
      <c r="K4" s="14"/>
      <c r="M4" s="37"/>
    </row>
    <row r="5" spans="1:14" ht="15">
      <c r="A5" s="3"/>
      <c r="B5" s="4"/>
      <c r="C5" s="4"/>
      <c r="D5" s="4"/>
      <c r="E5" s="23"/>
      <c r="F5" s="4"/>
      <c r="G5" s="27"/>
      <c r="H5" s="4"/>
      <c r="I5" s="38"/>
      <c r="J5" s="15"/>
      <c r="K5" s="175" t="s">
        <v>67</v>
      </c>
      <c r="L5" s="5"/>
      <c r="M5" s="177" t="s">
        <v>68</v>
      </c>
      <c r="N5" s="3"/>
    </row>
    <row r="6" spans="1:14" ht="15">
      <c r="A6" s="4"/>
      <c r="B6" s="4"/>
      <c r="C6" s="4"/>
      <c r="D6" s="4"/>
      <c r="E6" s="182" t="s">
        <v>31</v>
      </c>
      <c r="F6" s="17"/>
      <c r="G6" s="171" t="s">
        <v>58</v>
      </c>
      <c r="H6" s="17"/>
      <c r="I6" s="177" t="s">
        <v>145</v>
      </c>
      <c r="J6" s="19"/>
      <c r="K6" s="175"/>
      <c r="L6" s="5"/>
      <c r="M6" s="177"/>
      <c r="N6" s="3"/>
    </row>
    <row r="7" spans="1:14" ht="15">
      <c r="A7" s="4"/>
      <c r="B7" s="4"/>
      <c r="C7" s="4"/>
      <c r="D7" s="4"/>
      <c r="E7" s="182"/>
      <c r="F7" s="17"/>
      <c r="G7" s="171"/>
      <c r="H7" s="17"/>
      <c r="I7" s="177"/>
      <c r="J7" s="19"/>
      <c r="K7" s="175"/>
      <c r="L7" s="5"/>
      <c r="M7" s="177"/>
      <c r="N7" s="3"/>
    </row>
    <row r="8" spans="1:14" ht="15">
      <c r="A8" s="168" t="s">
        <v>12</v>
      </c>
      <c r="B8" s="4"/>
      <c r="C8" s="168" t="s">
        <v>3</v>
      </c>
      <c r="D8" s="4"/>
      <c r="E8" s="182"/>
      <c r="F8" s="17"/>
      <c r="G8" s="171"/>
      <c r="H8" s="17"/>
      <c r="I8" s="177"/>
      <c r="J8" s="19"/>
      <c r="K8" s="175"/>
      <c r="L8" s="5"/>
      <c r="M8" s="177"/>
      <c r="N8" s="3"/>
    </row>
    <row r="9" spans="1:14" ht="15.75" thickBot="1">
      <c r="A9" s="169"/>
      <c r="B9" s="7"/>
      <c r="C9" s="169"/>
      <c r="D9" s="7"/>
      <c r="E9" s="183"/>
      <c r="F9" s="18"/>
      <c r="G9" s="172"/>
      <c r="H9" s="18"/>
      <c r="I9" s="174"/>
      <c r="J9" s="20"/>
      <c r="K9" s="176"/>
      <c r="L9" s="9"/>
      <c r="M9" s="174"/>
      <c r="N9" s="3"/>
    </row>
    <row r="10" spans="1:14" ht="15">
      <c r="A10" s="79"/>
      <c r="B10" s="79"/>
      <c r="C10" s="79"/>
      <c r="D10" s="79"/>
      <c r="E10" s="79"/>
      <c r="F10" s="79"/>
      <c r="G10" s="80"/>
      <c r="H10" s="79"/>
      <c r="I10" s="72"/>
      <c r="J10" s="79"/>
      <c r="K10" s="81"/>
      <c r="L10" s="79"/>
      <c r="M10" s="72"/>
      <c r="N10" s="3"/>
    </row>
    <row r="11" spans="1:14" ht="15">
      <c r="A11" s="79">
        <v>1</v>
      </c>
      <c r="B11" s="79"/>
      <c r="C11" s="79">
        <v>2019</v>
      </c>
      <c r="D11" s="79"/>
      <c r="E11" s="80">
        <f>SUM(96*80*1300)</f>
        <v>9984000</v>
      </c>
      <c r="F11" s="79"/>
      <c r="G11" s="80">
        <f>SUM(E11/6)</f>
        <v>1664000</v>
      </c>
      <c r="H11" s="79"/>
      <c r="I11" s="72">
        <f>G11*3.5</f>
        <v>5824000</v>
      </c>
      <c r="J11" s="79"/>
      <c r="K11" s="81">
        <f>SUM(I11/(1.07)^A11)</f>
        <v>5442990.654205607</v>
      </c>
      <c r="L11" s="79"/>
      <c r="M11" s="72">
        <f>SUM(I11/(1.03)^A11)</f>
        <v>5654368.932038835</v>
      </c>
      <c r="N11" s="3"/>
    </row>
    <row r="12" spans="1:14" ht="15">
      <c r="A12" s="79">
        <v>2</v>
      </c>
      <c r="B12" s="79"/>
      <c r="C12" s="79">
        <v>2020</v>
      </c>
      <c r="D12" s="79"/>
      <c r="E12" s="80">
        <f>SUM(96*80*1300)</f>
        <v>9984000</v>
      </c>
      <c r="F12" s="79"/>
      <c r="G12" s="80">
        <f aca="true" t="shared" si="0" ref="G12:G30">SUM(E12/6)</f>
        <v>1664000</v>
      </c>
      <c r="H12" s="79"/>
      <c r="I12" s="72">
        <f aca="true" t="shared" si="1" ref="I12:I30">G12*3.5</f>
        <v>5824000</v>
      </c>
      <c r="J12" s="79"/>
      <c r="K12" s="81">
        <f aca="true" t="shared" si="2" ref="K12:K30">SUM(I12/(1.07)^A12)</f>
        <v>5086907.153463185</v>
      </c>
      <c r="L12" s="79"/>
      <c r="M12" s="72">
        <f aca="true" t="shared" si="3" ref="M12:M30">SUM(I12/(1.03)^A12)</f>
        <v>5489678.574794985</v>
      </c>
      <c r="N12" s="3"/>
    </row>
    <row r="13" spans="1:14" ht="15">
      <c r="A13" s="79">
        <v>3</v>
      </c>
      <c r="B13" s="79"/>
      <c r="C13" s="79">
        <v>2021</v>
      </c>
      <c r="D13" s="79"/>
      <c r="E13" s="80">
        <f>SUM(96*80*1300)</f>
        <v>9984000</v>
      </c>
      <c r="F13" s="79"/>
      <c r="G13" s="80">
        <f t="shared" si="0"/>
        <v>1664000</v>
      </c>
      <c r="H13" s="79"/>
      <c r="I13" s="72">
        <f t="shared" si="1"/>
        <v>5824000</v>
      </c>
      <c r="J13" s="79"/>
      <c r="K13" s="81">
        <f t="shared" si="2"/>
        <v>4754118.835012321</v>
      </c>
      <c r="L13" s="79"/>
      <c r="M13" s="72">
        <f t="shared" si="3"/>
        <v>5329785.024072802</v>
      </c>
      <c r="N13" s="3"/>
    </row>
    <row r="14" spans="1:14" ht="15">
      <c r="A14" s="79">
        <v>4</v>
      </c>
      <c r="B14" s="79"/>
      <c r="C14" s="79">
        <v>2022</v>
      </c>
      <c r="D14" s="79"/>
      <c r="E14" s="80">
        <f>SUM(96*80*1300)</f>
        <v>9984000</v>
      </c>
      <c r="F14" s="79"/>
      <c r="G14" s="80">
        <f t="shared" si="0"/>
        <v>1664000</v>
      </c>
      <c r="H14" s="79"/>
      <c r="I14" s="72">
        <f t="shared" si="1"/>
        <v>5824000</v>
      </c>
      <c r="J14" s="79"/>
      <c r="K14" s="81">
        <f t="shared" si="2"/>
        <v>4443101.714964787</v>
      </c>
      <c r="L14" s="79"/>
      <c r="M14" s="72">
        <f t="shared" si="3"/>
        <v>5174548.567060973</v>
      </c>
      <c r="N14" s="3"/>
    </row>
    <row r="15" spans="1:14" ht="15">
      <c r="A15" s="79">
        <v>5</v>
      </c>
      <c r="B15" s="79"/>
      <c r="C15" s="79">
        <v>2023</v>
      </c>
      <c r="D15" s="79"/>
      <c r="E15" s="80">
        <f>SUM(192*80*1300)</f>
        <v>19968000</v>
      </c>
      <c r="F15" s="79"/>
      <c r="G15" s="80">
        <f t="shared" si="0"/>
        <v>3328000</v>
      </c>
      <c r="H15" s="79"/>
      <c r="I15" s="72">
        <f t="shared" si="1"/>
        <v>11648000</v>
      </c>
      <c r="J15" s="79"/>
      <c r="K15" s="81">
        <f t="shared" si="2"/>
        <v>8304863.018625769</v>
      </c>
      <c r="L15" s="79"/>
      <c r="M15" s="72">
        <f t="shared" si="3"/>
        <v>10047667.120506743</v>
      </c>
      <c r="N15" s="3"/>
    </row>
    <row r="16" spans="1:14" ht="15">
      <c r="A16" s="79">
        <v>6</v>
      </c>
      <c r="B16" s="79"/>
      <c r="C16" s="79">
        <v>2024</v>
      </c>
      <c r="D16" s="79"/>
      <c r="E16" s="80">
        <f>SUM(192*80*1300)</f>
        <v>19968000</v>
      </c>
      <c r="F16" s="79"/>
      <c r="G16" s="80">
        <f t="shared" si="0"/>
        <v>3328000</v>
      </c>
      <c r="H16" s="79"/>
      <c r="I16" s="72">
        <f t="shared" si="1"/>
        <v>11648000</v>
      </c>
      <c r="J16" s="79"/>
      <c r="K16" s="81">
        <f t="shared" si="2"/>
        <v>7761554.223014738</v>
      </c>
      <c r="L16" s="79"/>
      <c r="M16" s="72">
        <f t="shared" si="3"/>
        <v>9755016.621851206</v>
      </c>
      <c r="N16" s="3"/>
    </row>
    <row r="17" spans="1:14" ht="15">
      <c r="A17" s="79">
        <v>7</v>
      </c>
      <c r="B17" s="79"/>
      <c r="C17" s="79">
        <v>2025</v>
      </c>
      <c r="D17" s="79"/>
      <c r="E17" s="80">
        <f>SUM(192*80*1300)</f>
        <v>19968000</v>
      </c>
      <c r="F17" s="79"/>
      <c r="G17" s="80">
        <f t="shared" si="0"/>
        <v>3328000</v>
      </c>
      <c r="H17" s="79"/>
      <c r="I17" s="72">
        <f t="shared" si="1"/>
        <v>11648000</v>
      </c>
      <c r="J17" s="79"/>
      <c r="K17" s="81">
        <f t="shared" si="2"/>
        <v>7253788.993471717</v>
      </c>
      <c r="L17" s="79"/>
      <c r="M17" s="72">
        <f t="shared" si="3"/>
        <v>9470889.924127385</v>
      </c>
      <c r="N17" s="3"/>
    </row>
    <row r="18" spans="1:14" ht="15">
      <c r="A18" s="79">
        <v>8</v>
      </c>
      <c r="B18" s="79"/>
      <c r="C18" s="79">
        <v>2026</v>
      </c>
      <c r="D18" s="79"/>
      <c r="E18" s="80">
        <f>SUM(200*80*1300)</f>
        <v>20800000</v>
      </c>
      <c r="F18" s="79"/>
      <c r="G18" s="80">
        <f t="shared" si="0"/>
        <v>3466666.6666666665</v>
      </c>
      <c r="H18" s="79"/>
      <c r="I18" s="72">
        <f t="shared" si="1"/>
        <v>12133333.333333332</v>
      </c>
      <c r="J18" s="79"/>
      <c r="K18" s="81">
        <f t="shared" si="2"/>
        <v>7061710.468722465</v>
      </c>
      <c r="L18" s="79"/>
      <c r="M18" s="72">
        <f t="shared" si="3"/>
        <v>9578165.37634242</v>
      </c>
      <c r="N18" s="3"/>
    </row>
    <row r="19" spans="1:14" ht="15">
      <c r="A19" s="79">
        <v>9</v>
      </c>
      <c r="B19" s="79"/>
      <c r="C19" s="79">
        <v>2027</v>
      </c>
      <c r="D19" s="79"/>
      <c r="E19" s="80">
        <f>SUM(200*80*1300)</f>
        <v>20800000</v>
      </c>
      <c r="F19" s="79"/>
      <c r="G19" s="80">
        <f t="shared" si="0"/>
        <v>3466666.6666666665</v>
      </c>
      <c r="H19" s="79"/>
      <c r="I19" s="72">
        <f t="shared" si="1"/>
        <v>12133333.333333332</v>
      </c>
      <c r="J19" s="79"/>
      <c r="K19" s="81">
        <f t="shared" si="2"/>
        <v>6599729.410020995</v>
      </c>
      <c r="L19" s="79"/>
      <c r="M19" s="72">
        <f t="shared" si="3"/>
        <v>9299189.68576934</v>
      </c>
      <c r="N19" s="3"/>
    </row>
    <row r="20" spans="1:14" ht="15">
      <c r="A20" s="79">
        <v>10</v>
      </c>
      <c r="B20" s="79"/>
      <c r="C20" s="79">
        <v>2028</v>
      </c>
      <c r="D20" s="79"/>
      <c r="E20" s="80">
        <f>SUM(200*80*1300)</f>
        <v>20800000</v>
      </c>
      <c r="F20" s="79"/>
      <c r="G20" s="80">
        <f t="shared" si="0"/>
        <v>3466666.6666666665</v>
      </c>
      <c r="H20" s="79"/>
      <c r="I20" s="72">
        <f t="shared" si="1"/>
        <v>12133333.333333332</v>
      </c>
      <c r="J20" s="79"/>
      <c r="K20" s="81">
        <f t="shared" si="2"/>
        <v>6167971.411234575</v>
      </c>
      <c r="L20" s="79"/>
      <c r="M20" s="72">
        <f t="shared" si="3"/>
        <v>9028339.500746932</v>
      </c>
      <c r="N20" s="3"/>
    </row>
    <row r="21" spans="1:14" ht="15">
      <c r="A21" s="79">
        <v>11</v>
      </c>
      <c r="B21" s="79"/>
      <c r="C21" s="79">
        <v>2029</v>
      </c>
      <c r="D21" s="79"/>
      <c r="E21" s="80">
        <f>SUM(216*80*1300)</f>
        <v>22464000</v>
      </c>
      <c r="F21" s="79"/>
      <c r="G21" s="80">
        <f t="shared" si="0"/>
        <v>3744000</v>
      </c>
      <c r="H21" s="79"/>
      <c r="I21" s="72">
        <f t="shared" si="1"/>
        <v>13104000</v>
      </c>
      <c r="J21" s="79"/>
      <c r="K21" s="81">
        <f t="shared" si="2"/>
        <v>6225616.003862936</v>
      </c>
      <c r="L21" s="79"/>
      <c r="M21" s="72">
        <f t="shared" si="3"/>
        <v>9466608.40855018</v>
      </c>
      <c r="N21" s="3"/>
    </row>
    <row r="22" spans="1:14" ht="15">
      <c r="A22" s="79">
        <v>12</v>
      </c>
      <c r="B22" s="79"/>
      <c r="C22" s="79">
        <v>2030</v>
      </c>
      <c r="D22" s="79"/>
      <c r="E22" s="80">
        <f>SUM(216*80*1300)</f>
        <v>22464000</v>
      </c>
      <c r="F22" s="79"/>
      <c r="G22" s="80">
        <f t="shared" si="0"/>
        <v>3744000</v>
      </c>
      <c r="H22" s="79"/>
      <c r="I22" s="72">
        <f t="shared" si="1"/>
        <v>13104000</v>
      </c>
      <c r="J22" s="79"/>
      <c r="K22" s="81">
        <f t="shared" si="2"/>
        <v>5818332.713890595</v>
      </c>
      <c r="L22" s="79"/>
      <c r="M22" s="72">
        <f t="shared" si="3"/>
        <v>9190881.95004872</v>
      </c>
      <c r="N22" s="3"/>
    </row>
    <row r="23" spans="1:14" ht="15">
      <c r="A23" s="79">
        <v>13</v>
      </c>
      <c r="B23" s="79"/>
      <c r="C23" s="79">
        <v>2031</v>
      </c>
      <c r="D23" s="79"/>
      <c r="E23" s="80">
        <f>SUM(216*80*1300)</f>
        <v>22464000</v>
      </c>
      <c r="F23" s="79"/>
      <c r="G23" s="80">
        <f t="shared" si="0"/>
        <v>3744000</v>
      </c>
      <c r="H23" s="79"/>
      <c r="I23" s="72">
        <f t="shared" si="1"/>
        <v>13104000</v>
      </c>
      <c r="J23" s="79"/>
      <c r="K23" s="81">
        <f t="shared" si="2"/>
        <v>5437694.125131397</v>
      </c>
      <c r="L23" s="79"/>
      <c r="M23" s="72">
        <f t="shared" si="3"/>
        <v>8923186.359270602</v>
      </c>
      <c r="N23" s="3"/>
    </row>
    <row r="24" spans="1:14" ht="15">
      <c r="A24" s="79">
        <v>14</v>
      </c>
      <c r="B24" s="79"/>
      <c r="C24" s="79">
        <v>2032</v>
      </c>
      <c r="D24" s="79"/>
      <c r="E24" s="80">
        <f>SUM(216*80*1300)</f>
        <v>22464000</v>
      </c>
      <c r="F24" s="79"/>
      <c r="G24" s="80">
        <f t="shared" si="0"/>
        <v>3744000</v>
      </c>
      <c r="H24" s="79"/>
      <c r="I24" s="72">
        <f t="shared" si="1"/>
        <v>13104000</v>
      </c>
      <c r="J24" s="79"/>
      <c r="K24" s="81">
        <f t="shared" si="2"/>
        <v>5081957.126291025</v>
      </c>
      <c r="L24" s="79"/>
      <c r="M24" s="72">
        <f t="shared" si="3"/>
        <v>8663287.727447188</v>
      </c>
      <c r="N24" s="3"/>
    </row>
    <row r="25" spans="1:14" ht="15">
      <c r="A25" s="79">
        <v>15</v>
      </c>
      <c r="B25" s="79"/>
      <c r="C25" s="79">
        <v>2033</v>
      </c>
      <c r="D25" s="79"/>
      <c r="E25" s="80">
        <f>SUM(224*80*1300)</f>
        <v>23296000</v>
      </c>
      <c r="F25" s="79"/>
      <c r="G25" s="80">
        <f t="shared" si="0"/>
        <v>3882666.6666666665</v>
      </c>
      <c r="H25" s="79"/>
      <c r="I25" s="72">
        <f t="shared" si="1"/>
        <v>13589333.333333332</v>
      </c>
      <c r="J25" s="79"/>
      <c r="K25" s="81">
        <f t="shared" si="2"/>
        <v>4925399.776259906</v>
      </c>
      <c r="L25" s="79"/>
      <c r="M25" s="72">
        <f t="shared" si="3"/>
        <v>8722475.95715646</v>
      </c>
      <c r="N25" s="3"/>
    </row>
    <row r="26" spans="1:14" ht="15">
      <c r="A26" s="79">
        <v>16</v>
      </c>
      <c r="B26" s="79"/>
      <c r="C26" s="79">
        <v>2034</v>
      </c>
      <c r="D26" s="79"/>
      <c r="E26" s="80">
        <f>SUM(224*80*1300)</f>
        <v>23296000</v>
      </c>
      <c r="F26" s="79"/>
      <c r="G26" s="80">
        <f t="shared" si="0"/>
        <v>3882666.6666666665</v>
      </c>
      <c r="H26" s="79"/>
      <c r="I26" s="72">
        <f t="shared" si="1"/>
        <v>13589333.333333332</v>
      </c>
      <c r="J26" s="79"/>
      <c r="K26" s="81">
        <f t="shared" si="2"/>
        <v>4603177.360990567</v>
      </c>
      <c r="L26" s="79"/>
      <c r="M26" s="72">
        <f t="shared" si="3"/>
        <v>8468423.259375207</v>
      </c>
      <c r="N26" s="3"/>
    </row>
    <row r="27" spans="1:14" ht="15">
      <c r="A27" s="79">
        <v>17</v>
      </c>
      <c r="B27" s="79"/>
      <c r="C27" s="79">
        <v>2035</v>
      </c>
      <c r="D27" s="79"/>
      <c r="E27" s="80">
        <f>SUM(224*80*1300)</f>
        <v>23296000</v>
      </c>
      <c r="F27" s="79"/>
      <c r="G27" s="80">
        <f t="shared" si="0"/>
        <v>3882666.6666666665</v>
      </c>
      <c r="H27" s="79"/>
      <c r="I27" s="72">
        <f t="shared" si="1"/>
        <v>13589333.333333332</v>
      </c>
      <c r="J27" s="79"/>
      <c r="K27" s="81">
        <f t="shared" si="2"/>
        <v>4302034.916813614</v>
      </c>
      <c r="L27" s="79"/>
      <c r="M27" s="72">
        <f t="shared" si="3"/>
        <v>8221770.154733211</v>
      </c>
      <c r="N27" s="3"/>
    </row>
    <row r="28" spans="1:14" ht="15">
      <c r="A28" s="79">
        <v>18</v>
      </c>
      <c r="B28" s="79"/>
      <c r="C28" s="79">
        <v>2036</v>
      </c>
      <c r="D28" s="79"/>
      <c r="E28" s="80">
        <f>SUM(231*80*1300)</f>
        <v>24024000</v>
      </c>
      <c r="F28" s="79"/>
      <c r="G28" s="80">
        <f t="shared" si="0"/>
        <v>4004000</v>
      </c>
      <c r="H28" s="79"/>
      <c r="I28" s="72">
        <f t="shared" si="1"/>
        <v>14014000</v>
      </c>
      <c r="J28" s="79"/>
      <c r="K28" s="81">
        <f t="shared" si="2"/>
        <v>4146236.9233308784</v>
      </c>
      <c r="L28" s="79"/>
      <c r="M28" s="72">
        <f t="shared" si="3"/>
        <v>8231748.031134586</v>
      </c>
      <c r="N28" s="3"/>
    </row>
    <row r="29" spans="1:14" ht="15">
      <c r="A29" s="79">
        <v>19</v>
      </c>
      <c r="B29" s="79"/>
      <c r="C29" s="79">
        <v>2037</v>
      </c>
      <c r="D29" s="79"/>
      <c r="E29" s="80">
        <f>SUM(231*80*1300)</f>
        <v>24024000</v>
      </c>
      <c r="F29" s="79"/>
      <c r="G29" s="80">
        <f t="shared" si="0"/>
        <v>4004000</v>
      </c>
      <c r="H29" s="79"/>
      <c r="I29" s="72">
        <f t="shared" si="1"/>
        <v>14014000</v>
      </c>
      <c r="J29" s="79"/>
      <c r="K29" s="81">
        <f t="shared" si="2"/>
        <v>3874987.7788139046</v>
      </c>
      <c r="L29" s="79"/>
      <c r="M29" s="72">
        <f t="shared" si="3"/>
        <v>7991988.379742317</v>
      </c>
      <c r="N29" s="3"/>
    </row>
    <row r="30" spans="1:14" ht="15">
      <c r="A30" s="79">
        <v>20</v>
      </c>
      <c r="B30" s="79"/>
      <c r="C30" s="79">
        <v>2038</v>
      </c>
      <c r="D30" s="79"/>
      <c r="E30" s="90">
        <f>SUM(231*80*1300)</f>
        <v>24024000</v>
      </c>
      <c r="F30" s="44"/>
      <c r="G30" s="90">
        <f t="shared" si="0"/>
        <v>4004000</v>
      </c>
      <c r="H30" s="44"/>
      <c r="I30" s="73">
        <f t="shared" si="1"/>
        <v>14014000</v>
      </c>
      <c r="J30" s="44"/>
      <c r="K30" s="86">
        <f t="shared" si="2"/>
        <v>3621483.905433556</v>
      </c>
      <c r="L30" s="44"/>
      <c r="M30" s="73">
        <f t="shared" si="3"/>
        <v>7759212.019167298</v>
      </c>
      <c r="N30" s="47"/>
    </row>
    <row r="31" spans="1:14" ht="15">
      <c r="A31" s="79"/>
      <c r="B31" s="79"/>
      <c r="C31" s="79"/>
      <c r="D31" s="79"/>
      <c r="E31" s="79"/>
      <c r="F31" s="79"/>
      <c r="G31" s="80"/>
      <c r="H31" s="79"/>
      <c r="I31" s="72"/>
      <c r="J31" s="79"/>
      <c r="K31" s="81"/>
      <c r="L31" s="79"/>
      <c r="M31" s="72"/>
      <c r="N31" s="3"/>
    </row>
    <row r="32" spans="1:14" ht="15.75" thickBot="1">
      <c r="A32" s="79"/>
      <c r="B32" s="79"/>
      <c r="C32" s="79"/>
      <c r="D32" s="79"/>
      <c r="E32" s="79"/>
      <c r="F32" s="79"/>
      <c r="G32" s="80"/>
      <c r="H32" s="87"/>
      <c r="I32" s="88">
        <f>SUM(I11:I30)</f>
        <v>229866000.00000003</v>
      </c>
      <c r="J32" s="88"/>
      <c r="K32" s="88">
        <f>SUM(K11:K30)</f>
        <v>110913656.51355451</v>
      </c>
      <c r="L32" s="88"/>
      <c r="M32" s="88">
        <f>SUM(M11:M30)</f>
        <v>164467231.5739374</v>
      </c>
      <c r="N32" s="74"/>
    </row>
    <row r="33" spans="1:14" ht="15.75" thickTop="1">
      <c r="A33" s="3"/>
      <c r="B33" s="3"/>
      <c r="C33" s="3"/>
      <c r="D33" s="3"/>
      <c r="E33" s="3"/>
      <c r="F33" s="3"/>
      <c r="G33" s="26"/>
      <c r="H33" s="3"/>
      <c r="I33" s="59"/>
      <c r="J33" s="3"/>
      <c r="K33" s="13"/>
      <c r="L33" s="3"/>
      <c r="M33" s="59"/>
      <c r="N33" s="3"/>
    </row>
    <row r="34" spans="1:14" ht="15">
      <c r="A34" s="3"/>
      <c r="B34" s="3"/>
      <c r="C34" s="3"/>
      <c r="D34" s="3"/>
      <c r="E34" s="3"/>
      <c r="F34" s="3"/>
      <c r="G34" s="26"/>
      <c r="H34" s="3"/>
      <c r="I34" s="59"/>
      <c r="J34" s="3"/>
      <c r="K34" s="13"/>
      <c r="L34" s="3"/>
      <c r="M34" s="59"/>
      <c r="N34" s="3"/>
    </row>
    <row r="35" spans="1:14" ht="15">
      <c r="A35" s="3"/>
      <c r="B35" s="76" t="s">
        <v>25</v>
      </c>
      <c r="C35" s="3"/>
      <c r="D35" s="3"/>
      <c r="E35" s="3"/>
      <c r="F35" s="3"/>
      <c r="G35" s="26"/>
      <c r="H35" s="3"/>
      <c r="I35" s="59"/>
      <c r="J35" s="3"/>
      <c r="K35" s="13"/>
      <c r="L35" s="3"/>
      <c r="M35" s="59"/>
      <c r="N35" s="3"/>
    </row>
    <row r="36" spans="1:14" ht="15">
      <c r="A36" s="3"/>
      <c r="B36" s="77" t="s">
        <v>147</v>
      </c>
      <c r="C36" s="77"/>
      <c r="D36" s="77"/>
      <c r="E36" s="3"/>
      <c r="F36" s="3"/>
      <c r="G36" s="26"/>
      <c r="H36" s="3"/>
      <c r="I36" s="59"/>
      <c r="J36" s="3"/>
      <c r="K36" s="13"/>
      <c r="L36" s="3"/>
      <c r="M36" s="59"/>
      <c r="N36" s="3"/>
    </row>
    <row r="37" spans="1:14" ht="15">
      <c r="A37" s="3"/>
      <c r="B37" s="77" t="s">
        <v>59</v>
      </c>
      <c r="C37" s="77"/>
      <c r="D37" s="77"/>
      <c r="E37" s="3"/>
      <c r="F37" s="3"/>
      <c r="G37" s="26"/>
      <c r="H37" s="3"/>
      <c r="I37" s="59"/>
      <c r="J37" s="3"/>
      <c r="K37" s="13"/>
      <c r="L37" s="3"/>
      <c r="M37" s="59"/>
      <c r="N37" s="3"/>
    </row>
    <row r="38" spans="1:14" ht="15">
      <c r="A38" s="3"/>
      <c r="B38" s="77" t="s">
        <v>146</v>
      </c>
      <c r="C38" s="77"/>
      <c r="D38" s="77"/>
      <c r="E38" s="3"/>
      <c r="F38" s="3"/>
      <c r="G38" s="26"/>
      <c r="H38" s="3"/>
      <c r="I38" s="59"/>
      <c r="J38" s="3"/>
      <c r="K38" s="13"/>
      <c r="L38" s="3"/>
      <c r="M38" s="59"/>
      <c r="N38" s="3"/>
    </row>
    <row r="39" spans="1:14" ht="15">
      <c r="A39" s="3"/>
      <c r="B39" s="77" t="s">
        <v>8</v>
      </c>
      <c r="C39" s="77"/>
      <c r="D39" s="77"/>
      <c r="E39" s="3"/>
      <c r="F39" s="3"/>
      <c r="G39" s="26"/>
      <c r="H39" s="3"/>
      <c r="I39" s="59"/>
      <c r="J39" s="3"/>
      <c r="K39" s="13"/>
      <c r="L39" s="3"/>
      <c r="M39" s="59"/>
      <c r="N39" s="3"/>
    </row>
    <row r="40" spans="1:14" ht="15">
      <c r="A40" s="3"/>
      <c r="B40" s="77" t="s">
        <v>9</v>
      </c>
      <c r="C40" s="3"/>
      <c r="D40" s="3"/>
      <c r="E40" s="3"/>
      <c r="F40" s="3"/>
      <c r="G40" s="26"/>
      <c r="H40" s="3"/>
      <c r="I40" s="59"/>
      <c r="J40" s="3"/>
      <c r="K40" s="13"/>
      <c r="L40" s="3"/>
      <c r="M40" s="59"/>
      <c r="N40" s="3"/>
    </row>
    <row r="41" spans="1:14" ht="15">
      <c r="A41" s="3"/>
      <c r="B41" s="170" t="s">
        <v>38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</row>
  </sheetData>
  <sheetProtection/>
  <mergeCells count="8">
    <mergeCell ref="A8:A9"/>
    <mergeCell ref="C8:C9"/>
    <mergeCell ref="B41:N41"/>
    <mergeCell ref="K5:K9"/>
    <mergeCell ref="M5:M9"/>
    <mergeCell ref="E6:E9"/>
    <mergeCell ref="G6:G9"/>
    <mergeCell ref="I6:I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130" zoomScaleNormal="130" zoomScalePageLayoutView="0" workbookViewId="0" topLeftCell="A1">
      <selection activeCell="V21" sqref="V21"/>
    </sheetView>
  </sheetViews>
  <sheetFormatPr defaultColWidth="9.140625" defaultRowHeight="15"/>
  <cols>
    <col min="1" max="1" width="4.28125" style="0" customWidth="1"/>
    <col min="2" max="2" width="0.5625" style="0" customWidth="1"/>
    <col min="3" max="3" width="7.8515625" style="0" customWidth="1"/>
    <col min="4" max="4" width="0.5625" style="0" customWidth="1"/>
    <col min="5" max="5" width="7.00390625" style="0" customWidth="1"/>
    <col min="6" max="6" width="0.5625" style="0" customWidth="1"/>
    <col min="7" max="7" width="8.28125" style="0" customWidth="1"/>
    <col min="8" max="8" width="1.1484375" style="0" customWidth="1"/>
    <col min="9" max="9" width="7.140625" style="0" customWidth="1"/>
    <col min="10" max="10" width="0.9921875" style="0" customWidth="1"/>
    <col min="11" max="11" width="6.8515625" style="25" customWidth="1"/>
    <col min="12" max="12" width="0.9921875" style="0" customWidth="1"/>
    <col min="13" max="13" width="8.8515625" style="25" customWidth="1"/>
    <col min="14" max="14" width="0.71875" style="0" customWidth="1"/>
    <col min="15" max="15" width="10.28125" style="37" customWidth="1"/>
    <col min="16" max="16" width="0.71875" style="0" customWidth="1"/>
    <col min="17" max="17" width="12.00390625" style="37" customWidth="1"/>
    <col min="18" max="18" width="0.85546875" style="0" customWidth="1"/>
    <col min="19" max="19" width="10.57421875" style="37" customWidth="1"/>
    <col min="20" max="20" width="0.71875" style="0" customWidth="1"/>
  </cols>
  <sheetData>
    <row r="1" spans="1:14" ht="23.25">
      <c r="A1" s="2" t="s">
        <v>0</v>
      </c>
      <c r="E1" s="21"/>
      <c r="I1" s="25"/>
      <c r="N1" s="16"/>
    </row>
    <row r="2" spans="1:14" ht="15">
      <c r="A2" t="s">
        <v>137</v>
      </c>
      <c r="E2" s="21"/>
      <c r="I2" s="25"/>
      <c r="N2" s="16"/>
    </row>
    <row r="3" spans="1:14" ht="15">
      <c r="A3" s="1" t="s">
        <v>60</v>
      </c>
      <c r="E3" s="21"/>
      <c r="I3" s="25"/>
      <c r="N3" s="16"/>
    </row>
    <row r="4" spans="1:19" ht="9.75" customHeight="1">
      <c r="A4" s="3"/>
      <c r="B4" s="4"/>
      <c r="C4" s="4"/>
      <c r="D4" s="4"/>
      <c r="E4" s="23"/>
      <c r="F4" s="4"/>
      <c r="G4" s="4"/>
      <c r="H4" s="4"/>
      <c r="I4" s="27"/>
      <c r="J4" s="15"/>
      <c r="K4" s="171" t="s">
        <v>61</v>
      </c>
      <c r="L4" s="19"/>
      <c r="M4" s="171" t="s">
        <v>62</v>
      </c>
      <c r="N4" s="29"/>
      <c r="O4" s="39"/>
      <c r="P4" s="4"/>
      <c r="Q4" s="177" t="s">
        <v>96</v>
      </c>
      <c r="R4" s="5"/>
      <c r="S4" s="177" t="s">
        <v>97</v>
      </c>
    </row>
    <row r="5" spans="1:19" s="55" customFormat="1" ht="15" customHeight="1">
      <c r="A5" s="78"/>
      <c r="B5" s="78"/>
      <c r="C5" s="78"/>
      <c r="D5" s="78"/>
      <c r="E5" s="178" t="s">
        <v>20</v>
      </c>
      <c r="F5" s="17"/>
      <c r="G5" s="185" t="s">
        <v>21</v>
      </c>
      <c r="H5" s="17"/>
      <c r="I5" s="171" t="s">
        <v>22</v>
      </c>
      <c r="J5" s="19"/>
      <c r="K5" s="171"/>
      <c r="L5" s="19"/>
      <c r="M5" s="171"/>
      <c r="N5" s="29"/>
      <c r="O5" s="177" t="s">
        <v>63</v>
      </c>
      <c r="P5" s="6"/>
      <c r="Q5" s="177"/>
      <c r="R5" s="5"/>
      <c r="S5" s="177"/>
    </row>
    <row r="6" spans="1:19" s="55" customFormat="1" ht="15">
      <c r="A6" s="78"/>
      <c r="B6" s="78"/>
      <c r="C6" s="78"/>
      <c r="D6" s="78"/>
      <c r="E6" s="178"/>
      <c r="F6" s="17"/>
      <c r="G6" s="185"/>
      <c r="H6" s="17"/>
      <c r="I6" s="171"/>
      <c r="J6" s="19"/>
      <c r="K6" s="171"/>
      <c r="L6" s="19"/>
      <c r="M6" s="171"/>
      <c r="N6" s="29"/>
      <c r="O6" s="177"/>
      <c r="P6" s="6"/>
      <c r="Q6" s="177"/>
      <c r="R6" s="5"/>
      <c r="S6" s="177"/>
    </row>
    <row r="7" spans="1:19" s="55" customFormat="1" ht="15" customHeight="1">
      <c r="A7" s="168" t="s">
        <v>12</v>
      </c>
      <c r="B7" s="78"/>
      <c r="C7" s="168" t="s">
        <v>3</v>
      </c>
      <c r="D7" s="78"/>
      <c r="E7" s="178"/>
      <c r="F7" s="17"/>
      <c r="G7" s="185"/>
      <c r="H7" s="17"/>
      <c r="I7" s="171"/>
      <c r="J7" s="19"/>
      <c r="K7" s="171"/>
      <c r="L7" s="19"/>
      <c r="M7" s="171"/>
      <c r="N7" s="29"/>
      <c r="O7" s="177"/>
      <c r="P7" s="6"/>
      <c r="Q7" s="177"/>
      <c r="R7" s="5"/>
      <c r="S7" s="177"/>
    </row>
    <row r="8" spans="1:19" s="55" customFormat="1" ht="23.25" customHeight="1" thickBot="1">
      <c r="A8" s="169"/>
      <c r="B8" s="85"/>
      <c r="C8" s="169"/>
      <c r="D8" s="85"/>
      <c r="E8" s="179"/>
      <c r="F8" s="18"/>
      <c r="G8" s="186"/>
      <c r="H8" s="18"/>
      <c r="I8" s="172"/>
      <c r="J8" s="20"/>
      <c r="K8" s="172"/>
      <c r="L8" s="20"/>
      <c r="M8" s="172"/>
      <c r="N8" s="30"/>
      <c r="O8" s="174"/>
      <c r="P8" s="8"/>
      <c r="Q8" s="174"/>
      <c r="R8" s="9"/>
      <c r="S8" s="174"/>
    </row>
    <row r="9" spans="1:19" s="55" customFormat="1" ht="15">
      <c r="A9" s="79"/>
      <c r="B9" s="79"/>
      <c r="C9" s="79"/>
      <c r="D9" s="79"/>
      <c r="E9" s="93"/>
      <c r="F9" s="79"/>
      <c r="G9" s="79"/>
      <c r="H9" s="79"/>
      <c r="I9" s="80"/>
      <c r="J9" s="79"/>
      <c r="K9" s="80"/>
      <c r="L9" s="79"/>
      <c r="M9" s="80"/>
      <c r="N9" s="94"/>
      <c r="O9" s="72"/>
      <c r="P9" s="79"/>
      <c r="Q9" s="72"/>
      <c r="R9" s="79"/>
      <c r="S9" s="72"/>
    </row>
    <row r="10" spans="1:19" s="55" customFormat="1" ht="15">
      <c r="A10" s="79">
        <v>1</v>
      </c>
      <c r="B10" s="79"/>
      <c r="C10" s="79">
        <v>2019</v>
      </c>
      <c r="D10" s="79"/>
      <c r="E10" s="93">
        <v>7680</v>
      </c>
      <c r="F10" s="79"/>
      <c r="G10" s="79">
        <v>96</v>
      </c>
      <c r="H10" s="79"/>
      <c r="I10" s="80">
        <f>SUM(G10*1300)</f>
        <v>124800</v>
      </c>
      <c r="J10" s="79"/>
      <c r="K10" s="80">
        <v>192000</v>
      </c>
      <c r="L10" s="79"/>
      <c r="M10" s="80">
        <f>SUM(G10*4513.89)</f>
        <v>433333.44000000006</v>
      </c>
      <c r="N10" s="94"/>
      <c r="O10" s="72">
        <f>M10*3.5</f>
        <v>1516667.0400000003</v>
      </c>
      <c r="P10" s="79"/>
      <c r="Q10" s="99">
        <f>SUM(O10/(1.07)^A10)</f>
        <v>1417445.8317757011</v>
      </c>
      <c r="R10" s="79"/>
      <c r="S10" s="72">
        <f>SUM(O10/(1.03)^A10)</f>
        <v>1472492.2718446604</v>
      </c>
    </row>
    <row r="11" spans="1:19" s="55" customFormat="1" ht="15">
      <c r="A11" s="79">
        <v>2</v>
      </c>
      <c r="B11" s="79"/>
      <c r="C11" s="79">
        <v>2020</v>
      </c>
      <c r="D11" s="79"/>
      <c r="E11" s="93">
        <v>7680</v>
      </c>
      <c r="F11" s="79"/>
      <c r="G11" s="79">
        <v>96</v>
      </c>
      <c r="H11" s="79"/>
      <c r="I11" s="80">
        <f aca="true" t="shared" si="0" ref="I11:I29">SUM(G11*1300)</f>
        <v>124800</v>
      </c>
      <c r="J11" s="79"/>
      <c r="K11" s="80">
        <v>192000</v>
      </c>
      <c r="L11" s="79"/>
      <c r="M11" s="80">
        <f aca="true" t="shared" si="1" ref="M11:M29">SUM(G11*4166.67)</f>
        <v>400000.32</v>
      </c>
      <c r="N11" s="94"/>
      <c r="O11" s="72">
        <f aca="true" t="shared" si="2" ref="O11:O29">M11*3.5</f>
        <v>1400001.12</v>
      </c>
      <c r="P11" s="79"/>
      <c r="Q11" s="99">
        <f aca="true" t="shared" si="3" ref="Q11:Q29">SUM(O11/(1.07)^A11)</f>
        <v>1222815.197833872</v>
      </c>
      <c r="R11" s="79"/>
      <c r="S11" s="72">
        <f aca="true" t="shared" si="4" ref="S11:S29">SUM(O11/(1.03)^A11)</f>
        <v>1319635.3284946745</v>
      </c>
    </row>
    <row r="12" spans="1:19" s="55" customFormat="1" ht="15">
      <c r="A12" s="79">
        <v>3</v>
      </c>
      <c r="B12" s="79"/>
      <c r="C12" s="79">
        <v>2021</v>
      </c>
      <c r="D12" s="79"/>
      <c r="E12" s="93">
        <v>7680</v>
      </c>
      <c r="F12" s="79"/>
      <c r="G12" s="79">
        <v>96</v>
      </c>
      <c r="H12" s="79"/>
      <c r="I12" s="80">
        <f t="shared" si="0"/>
        <v>124800</v>
      </c>
      <c r="J12" s="79"/>
      <c r="K12" s="80">
        <v>192000</v>
      </c>
      <c r="L12" s="79"/>
      <c r="M12" s="80">
        <f t="shared" si="1"/>
        <v>400000.32</v>
      </c>
      <c r="N12" s="94"/>
      <c r="O12" s="72">
        <f t="shared" si="2"/>
        <v>1400001.12</v>
      </c>
      <c r="P12" s="79"/>
      <c r="Q12" s="99">
        <f t="shared" si="3"/>
        <v>1142817.9419008149</v>
      </c>
      <c r="R12" s="79"/>
      <c r="S12" s="72">
        <f t="shared" si="4"/>
        <v>1281199.348053082</v>
      </c>
    </row>
    <row r="13" spans="1:19" s="55" customFormat="1" ht="15">
      <c r="A13" s="79">
        <v>4</v>
      </c>
      <c r="B13" s="79"/>
      <c r="C13" s="79">
        <v>2022</v>
      </c>
      <c r="D13" s="79"/>
      <c r="E13" s="93">
        <v>7680</v>
      </c>
      <c r="F13" s="79"/>
      <c r="G13" s="79">
        <v>96</v>
      </c>
      <c r="H13" s="79"/>
      <c r="I13" s="80">
        <f t="shared" si="0"/>
        <v>124800</v>
      </c>
      <c r="J13" s="79"/>
      <c r="K13" s="80">
        <v>192000</v>
      </c>
      <c r="L13" s="79"/>
      <c r="M13" s="80">
        <f t="shared" si="1"/>
        <v>400000.32</v>
      </c>
      <c r="N13" s="94"/>
      <c r="O13" s="72">
        <f t="shared" si="2"/>
        <v>1400001.12</v>
      </c>
      <c r="P13" s="79"/>
      <c r="Q13" s="99">
        <f t="shared" si="3"/>
        <v>1068054.1513091729</v>
      </c>
      <c r="R13" s="79"/>
      <c r="S13" s="72">
        <f t="shared" si="4"/>
        <v>1243882.8621874584</v>
      </c>
    </row>
    <row r="14" spans="1:19" s="55" customFormat="1" ht="15">
      <c r="A14" s="79">
        <v>5</v>
      </c>
      <c r="B14" s="79"/>
      <c r="C14" s="79">
        <v>2023</v>
      </c>
      <c r="D14" s="79"/>
      <c r="E14" s="93">
        <v>15360</v>
      </c>
      <c r="F14" s="79"/>
      <c r="G14" s="79">
        <v>192</v>
      </c>
      <c r="H14" s="79"/>
      <c r="I14" s="80">
        <f t="shared" si="0"/>
        <v>249600</v>
      </c>
      <c r="J14" s="79"/>
      <c r="K14" s="80">
        <v>384000</v>
      </c>
      <c r="L14" s="79"/>
      <c r="M14" s="80">
        <f t="shared" si="1"/>
        <v>800000.64</v>
      </c>
      <c r="N14" s="94"/>
      <c r="O14" s="72">
        <f t="shared" si="2"/>
        <v>2800002.24</v>
      </c>
      <c r="P14" s="79"/>
      <c r="Q14" s="99">
        <f t="shared" si="3"/>
        <v>1996362.8996433136</v>
      </c>
      <c r="R14" s="79"/>
      <c r="S14" s="72">
        <f t="shared" si="4"/>
        <v>2415306.5285193366</v>
      </c>
    </row>
    <row r="15" spans="1:19" s="55" customFormat="1" ht="15">
      <c r="A15" s="79">
        <v>6</v>
      </c>
      <c r="B15" s="79"/>
      <c r="C15" s="79">
        <v>2024</v>
      </c>
      <c r="D15" s="79"/>
      <c r="E15" s="93">
        <v>15360</v>
      </c>
      <c r="F15" s="79"/>
      <c r="G15" s="79">
        <v>192</v>
      </c>
      <c r="H15" s="79"/>
      <c r="I15" s="80">
        <f t="shared" si="0"/>
        <v>249600</v>
      </c>
      <c r="J15" s="79"/>
      <c r="K15" s="80">
        <v>384000</v>
      </c>
      <c r="L15" s="79"/>
      <c r="M15" s="80">
        <f t="shared" si="1"/>
        <v>800000.64</v>
      </c>
      <c r="N15" s="94"/>
      <c r="O15" s="72">
        <f t="shared" si="2"/>
        <v>2800002.24</v>
      </c>
      <c r="P15" s="79"/>
      <c r="Q15" s="99">
        <f t="shared" si="3"/>
        <v>1865759.7192928167</v>
      </c>
      <c r="R15" s="79"/>
      <c r="S15" s="72">
        <f t="shared" si="4"/>
        <v>2344957.7946789674</v>
      </c>
    </row>
    <row r="16" spans="1:19" s="55" customFormat="1" ht="15">
      <c r="A16" s="79">
        <v>7</v>
      </c>
      <c r="B16" s="79"/>
      <c r="C16" s="79">
        <v>2025</v>
      </c>
      <c r="D16" s="79"/>
      <c r="E16" s="93">
        <v>15360</v>
      </c>
      <c r="F16" s="79"/>
      <c r="G16" s="79">
        <v>192</v>
      </c>
      <c r="H16" s="79"/>
      <c r="I16" s="80">
        <f t="shared" si="0"/>
        <v>249600</v>
      </c>
      <c r="J16" s="79"/>
      <c r="K16" s="80">
        <v>384000</v>
      </c>
      <c r="L16" s="79"/>
      <c r="M16" s="80">
        <f t="shared" si="1"/>
        <v>800000.64</v>
      </c>
      <c r="N16" s="94"/>
      <c r="O16" s="72">
        <f t="shared" si="2"/>
        <v>2800002.24</v>
      </c>
      <c r="P16" s="79"/>
      <c r="Q16" s="99">
        <f t="shared" si="3"/>
        <v>1743700.672236277</v>
      </c>
      <c r="R16" s="79"/>
      <c r="S16" s="72">
        <f t="shared" si="4"/>
        <v>2276658.0530863763</v>
      </c>
    </row>
    <row r="17" spans="1:19" s="55" customFormat="1" ht="15">
      <c r="A17" s="79">
        <v>8</v>
      </c>
      <c r="B17" s="79"/>
      <c r="C17" s="79">
        <v>2026</v>
      </c>
      <c r="D17" s="79"/>
      <c r="E17" s="93">
        <v>16000</v>
      </c>
      <c r="F17" s="79"/>
      <c r="G17" s="79">
        <v>200</v>
      </c>
      <c r="H17" s="79"/>
      <c r="I17" s="80">
        <f t="shared" si="0"/>
        <v>260000</v>
      </c>
      <c r="J17" s="79"/>
      <c r="K17" s="80">
        <v>400000</v>
      </c>
      <c r="L17" s="79"/>
      <c r="M17" s="80">
        <f t="shared" si="1"/>
        <v>833334</v>
      </c>
      <c r="N17" s="94"/>
      <c r="O17" s="72">
        <f t="shared" si="2"/>
        <v>2916669</v>
      </c>
      <c r="P17" s="79"/>
      <c r="Q17" s="99">
        <f t="shared" si="3"/>
        <v>1697527.913002606</v>
      </c>
      <c r="R17" s="79"/>
      <c r="S17" s="72">
        <f t="shared" si="4"/>
        <v>2302445.4420371926</v>
      </c>
    </row>
    <row r="18" spans="1:19" s="55" customFormat="1" ht="15">
      <c r="A18" s="79">
        <v>9</v>
      </c>
      <c r="B18" s="79"/>
      <c r="C18" s="79">
        <v>2027</v>
      </c>
      <c r="D18" s="79"/>
      <c r="E18" s="93">
        <v>16000</v>
      </c>
      <c r="F18" s="79"/>
      <c r="G18" s="79">
        <v>200</v>
      </c>
      <c r="H18" s="79"/>
      <c r="I18" s="80">
        <f t="shared" si="0"/>
        <v>260000</v>
      </c>
      <c r="J18" s="79"/>
      <c r="K18" s="80">
        <v>400000</v>
      </c>
      <c r="L18" s="79"/>
      <c r="M18" s="80">
        <f t="shared" si="1"/>
        <v>833334</v>
      </c>
      <c r="N18" s="94"/>
      <c r="O18" s="72">
        <f t="shared" si="2"/>
        <v>2916669</v>
      </c>
      <c r="P18" s="79"/>
      <c r="Q18" s="99">
        <f t="shared" si="3"/>
        <v>1586474.6850491643</v>
      </c>
      <c r="R18" s="79"/>
      <c r="S18" s="72">
        <f t="shared" si="4"/>
        <v>2235383.924307954</v>
      </c>
    </row>
    <row r="19" spans="1:19" s="55" customFormat="1" ht="15">
      <c r="A19" s="79">
        <v>10</v>
      </c>
      <c r="B19" s="79"/>
      <c r="C19" s="79">
        <v>2028</v>
      </c>
      <c r="D19" s="79"/>
      <c r="E19" s="93">
        <v>16640</v>
      </c>
      <c r="F19" s="79"/>
      <c r="G19" s="79">
        <v>208</v>
      </c>
      <c r="H19" s="79"/>
      <c r="I19" s="80">
        <f t="shared" si="0"/>
        <v>270400</v>
      </c>
      <c r="J19" s="79"/>
      <c r="K19" s="80">
        <v>416000</v>
      </c>
      <c r="L19" s="79"/>
      <c r="M19" s="80">
        <f t="shared" si="1"/>
        <v>866667.36</v>
      </c>
      <c r="N19" s="94"/>
      <c r="O19" s="72">
        <f t="shared" si="2"/>
        <v>3033335.76</v>
      </c>
      <c r="P19" s="79"/>
      <c r="Q19" s="99">
        <f t="shared" si="3"/>
        <v>1541994.0864029261</v>
      </c>
      <c r="R19" s="79"/>
      <c r="S19" s="72">
        <f t="shared" si="4"/>
        <v>2257086.680854633</v>
      </c>
    </row>
    <row r="20" spans="1:19" s="55" customFormat="1" ht="15">
      <c r="A20" s="79">
        <v>11</v>
      </c>
      <c r="B20" s="79"/>
      <c r="C20" s="79">
        <v>2029</v>
      </c>
      <c r="D20" s="79"/>
      <c r="E20" s="93">
        <v>17280</v>
      </c>
      <c r="F20" s="79"/>
      <c r="G20" s="79">
        <v>216</v>
      </c>
      <c r="H20" s="79"/>
      <c r="I20" s="80">
        <f t="shared" si="0"/>
        <v>280800</v>
      </c>
      <c r="J20" s="79"/>
      <c r="K20" s="80">
        <v>432000</v>
      </c>
      <c r="L20" s="79"/>
      <c r="M20" s="80">
        <f t="shared" si="1"/>
        <v>900000.72</v>
      </c>
      <c r="N20" s="94"/>
      <c r="O20" s="72">
        <f t="shared" si="2"/>
        <v>3150002.52</v>
      </c>
      <c r="P20" s="79"/>
      <c r="Q20" s="99">
        <f t="shared" si="3"/>
        <v>1496543.505854745</v>
      </c>
      <c r="R20" s="79"/>
      <c r="S20" s="72">
        <f t="shared" si="4"/>
        <v>2275628.8417877182</v>
      </c>
    </row>
    <row r="21" spans="1:19" s="55" customFormat="1" ht="15">
      <c r="A21" s="79">
        <v>12</v>
      </c>
      <c r="B21" s="79"/>
      <c r="C21" s="79">
        <v>2030</v>
      </c>
      <c r="D21" s="79"/>
      <c r="E21" s="93">
        <v>17280</v>
      </c>
      <c r="F21" s="79"/>
      <c r="G21" s="79">
        <v>216</v>
      </c>
      <c r="H21" s="79"/>
      <c r="I21" s="80">
        <f t="shared" si="0"/>
        <v>280800</v>
      </c>
      <c r="J21" s="79"/>
      <c r="K21" s="80">
        <v>432000</v>
      </c>
      <c r="L21" s="79"/>
      <c r="M21" s="80">
        <f t="shared" si="1"/>
        <v>900000.72</v>
      </c>
      <c r="N21" s="94"/>
      <c r="O21" s="72">
        <f t="shared" si="2"/>
        <v>3150002.52</v>
      </c>
      <c r="P21" s="79"/>
      <c r="Q21" s="99">
        <f t="shared" si="3"/>
        <v>1398638.7905184533</v>
      </c>
      <c r="R21" s="79"/>
      <c r="S21" s="72">
        <f t="shared" si="4"/>
        <v>2209348.3900851635</v>
      </c>
    </row>
    <row r="22" spans="1:19" s="55" customFormat="1" ht="15">
      <c r="A22" s="79">
        <v>13</v>
      </c>
      <c r="B22" s="79"/>
      <c r="C22" s="79">
        <v>2031</v>
      </c>
      <c r="D22" s="79"/>
      <c r="E22" s="93">
        <v>17280</v>
      </c>
      <c r="F22" s="79"/>
      <c r="G22" s="79">
        <v>216</v>
      </c>
      <c r="H22" s="79"/>
      <c r="I22" s="80">
        <f t="shared" si="0"/>
        <v>280800</v>
      </c>
      <c r="J22" s="79"/>
      <c r="K22" s="80">
        <v>432000</v>
      </c>
      <c r="L22" s="79"/>
      <c r="M22" s="80">
        <f t="shared" si="1"/>
        <v>900000.72</v>
      </c>
      <c r="N22" s="94"/>
      <c r="O22" s="72">
        <f t="shared" si="2"/>
        <v>3150002.52</v>
      </c>
      <c r="P22" s="79"/>
      <c r="Q22" s="99">
        <f t="shared" si="3"/>
        <v>1307139.0565593021</v>
      </c>
      <c r="R22" s="79"/>
      <c r="S22" s="72">
        <f t="shared" si="4"/>
        <v>2144998.436975887</v>
      </c>
    </row>
    <row r="23" spans="1:19" s="55" customFormat="1" ht="15">
      <c r="A23" s="79">
        <v>14</v>
      </c>
      <c r="B23" s="79"/>
      <c r="C23" s="79">
        <v>2032</v>
      </c>
      <c r="D23" s="79"/>
      <c r="E23" s="93">
        <v>17280</v>
      </c>
      <c r="F23" s="79"/>
      <c r="G23" s="79">
        <v>216</v>
      </c>
      <c r="H23" s="79"/>
      <c r="I23" s="80">
        <f t="shared" si="0"/>
        <v>280800</v>
      </c>
      <c r="J23" s="79"/>
      <c r="K23" s="80">
        <v>432000</v>
      </c>
      <c r="L23" s="79"/>
      <c r="M23" s="80">
        <f t="shared" si="1"/>
        <v>900000.72</v>
      </c>
      <c r="N23" s="94"/>
      <c r="O23" s="72">
        <f t="shared" si="2"/>
        <v>3150002.52</v>
      </c>
      <c r="P23" s="79"/>
      <c r="Q23" s="99">
        <f t="shared" si="3"/>
        <v>1221625.286504021</v>
      </c>
      <c r="R23" s="79"/>
      <c r="S23" s="72">
        <f t="shared" si="4"/>
        <v>2082522.7543455213</v>
      </c>
    </row>
    <row r="24" spans="1:19" s="55" customFormat="1" ht="15">
      <c r="A24" s="79">
        <v>15</v>
      </c>
      <c r="B24" s="79"/>
      <c r="C24" s="79">
        <v>2033</v>
      </c>
      <c r="D24" s="79"/>
      <c r="E24" s="93">
        <v>17920</v>
      </c>
      <c r="F24" s="79"/>
      <c r="G24" s="79">
        <v>224</v>
      </c>
      <c r="H24" s="79"/>
      <c r="I24" s="80">
        <f t="shared" si="0"/>
        <v>291200</v>
      </c>
      <c r="J24" s="79"/>
      <c r="K24" s="80">
        <v>448000</v>
      </c>
      <c r="L24" s="79"/>
      <c r="M24" s="80">
        <f t="shared" si="1"/>
        <v>933334.0800000001</v>
      </c>
      <c r="N24" s="94"/>
      <c r="O24" s="72">
        <f>M24*3.5</f>
        <v>3266669.2800000003</v>
      </c>
      <c r="P24" s="79"/>
      <c r="Q24" s="99">
        <f t="shared" si="3"/>
        <v>1183991.278023973</v>
      </c>
      <c r="R24" s="79"/>
      <c r="S24" s="72">
        <f t="shared" si="4"/>
        <v>2096750.7055618337</v>
      </c>
    </row>
    <row r="25" spans="1:19" s="55" customFormat="1" ht="15">
      <c r="A25" s="79">
        <v>16</v>
      </c>
      <c r="B25" s="79"/>
      <c r="C25" s="79">
        <v>2034</v>
      </c>
      <c r="D25" s="79"/>
      <c r="E25" s="93">
        <v>17920</v>
      </c>
      <c r="F25" s="79"/>
      <c r="G25" s="79">
        <v>224</v>
      </c>
      <c r="H25" s="79"/>
      <c r="I25" s="80">
        <f t="shared" si="0"/>
        <v>291200</v>
      </c>
      <c r="J25" s="79"/>
      <c r="K25" s="80">
        <v>448000</v>
      </c>
      <c r="L25" s="79"/>
      <c r="M25" s="80">
        <f t="shared" si="1"/>
        <v>933334.0800000001</v>
      </c>
      <c r="N25" s="94"/>
      <c r="O25" s="72">
        <f t="shared" si="2"/>
        <v>3266669.2800000003</v>
      </c>
      <c r="P25" s="79"/>
      <c r="Q25" s="99">
        <f t="shared" si="3"/>
        <v>1106533.904695302</v>
      </c>
      <c r="R25" s="79"/>
      <c r="S25" s="72">
        <f t="shared" si="4"/>
        <v>2035680.2966619749</v>
      </c>
    </row>
    <row r="26" spans="1:19" s="55" customFormat="1" ht="15">
      <c r="A26" s="79">
        <v>17</v>
      </c>
      <c r="B26" s="79"/>
      <c r="C26" s="79">
        <v>2035</v>
      </c>
      <c r="D26" s="79"/>
      <c r="E26" s="93">
        <v>17920</v>
      </c>
      <c r="F26" s="79"/>
      <c r="G26" s="79">
        <v>224</v>
      </c>
      <c r="H26" s="79"/>
      <c r="I26" s="80">
        <f t="shared" si="0"/>
        <v>291200</v>
      </c>
      <c r="J26" s="79"/>
      <c r="K26" s="80">
        <v>448000</v>
      </c>
      <c r="L26" s="79"/>
      <c r="M26" s="80">
        <f t="shared" si="1"/>
        <v>933334.0800000001</v>
      </c>
      <c r="N26" s="94"/>
      <c r="O26" s="72">
        <f t="shared" si="2"/>
        <v>3266669.2800000003</v>
      </c>
      <c r="P26" s="79"/>
      <c r="Q26" s="99">
        <f t="shared" si="3"/>
        <v>1034143.8361638336</v>
      </c>
      <c r="R26" s="79"/>
      <c r="S26" s="72">
        <f t="shared" si="4"/>
        <v>1976388.637535898</v>
      </c>
    </row>
    <row r="27" spans="1:19" s="55" customFormat="1" ht="15">
      <c r="A27" s="79">
        <v>18</v>
      </c>
      <c r="B27" s="79"/>
      <c r="C27" s="79">
        <v>2036</v>
      </c>
      <c r="D27" s="79"/>
      <c r="E27" s="93">
        <v>18480</v>
      </c>
      <c r="F27" s="79"/>
      <c r="G27" s="79">
        <v>231</v>
      </c>
      <c r="H27" s="79"/>
      <c r="I27" s="80">
        <f t="shared" si="0"/>
        <v>300300</v>
      </c>
      <c r="J27" s="79"/>
      <c r="K27" s="80">
        <v>462000</v>
      </c>
      <c r="L27" s="79"/>
      <c r="M27" s="80">
        <f t="shared" si="1"/>
        <v>962500.77</v>
      </c>
      <c r="N27" s="94"/>
      <c r="O27" s="72">
        <f t="shared" si="2"/>
        <v>3368752.6950000003</v>
      </c>
      <c r="P27" s="79"/>
      <c r="Q27" s="99">
        <f t="shared" si="3"/>
        <v>996692.3654616388</v>
      </c>
      <c r="R27" s="79"/>
      <c r="S27" s="72">
        <f t="shared" si="4"/>
        <v>1978787.1674358202</v>
      </c>
    </row>
    <row r="28" spans="1:19" s="55" customFormat="1" ht="15">
      <c r="A28" s="79">
        <v>19</v>
      </c>
      <c r="B28" s="79"/>
      <c r="C28" s="79">
        <v>2037</v>
      </c>
      <c r="D28" s="79"/>
      <c r="E28" s="93">
        <v>18480</v>
      </c>
      <c r="F28" s="79"/>
      <c r="G28" s="79">
        <v>231</v>
      </c>
      <c r="H28" s="79"/>
      <c r="I28" s="80">
        <f t="shared" si="0"/>
        <v>300300</v>
      </c>
      <c r="J28" s="79"/>
      <c r="K28" s="80">
        <v>462000</v>
      </c>
      <c r="L28" s="79"/>
      <c r="M28" s="80">
        <f t="shared" si="1"/>
        <v>962500.77</v>
      </c>
      <c r="N28" s="94"/>
      <c r="O28" s="72">
        <f t="shared" si="2"/>
        <v>3368752.6950000003</v>
      </c>
      <c r="P28" s="79"/>
      <c r="Q28" s="99">
        <f t="shared" si="3"/>
        <v>931488.1920202231</v>
      </c>
      <c r="R28" s="79"/>
      <c r="S28" s="72">
        <f t="shared" si="4"/>
        <v>1921152.5897435148</v>
      </c>
    </row>
    <row r="29" spans="1:20" s="55" customFormat="1" ht="15">
      <c r="A29" s="79">
        <v>20</v>
      </c>
      <c r="B29" s="79"/>
      <c r="C29" s="79">
        <v>2038</v>
      </c>
      <c r="D29" s="79"/>
      <c r="E29" s="95">
        <v>18480</v>
      </c>
      <c r="F29" s="44"/>
      <c r="G29" s="44">
        <v>231</v>
      </c>
      <c r="H29" s="44"/>
      <c r="I29" s="90">
        <f t="shared" si="0"/>
        <v>300300</v>
      </c>
      <c r="J29" s="44"/>
      <c r="K29" s="90">
        <v>462000</v>
      </c>
      <c r="L29" s="44"/>
      <c r="M29" s="90">
        <f t="shared" si="1"/>
        <v>962500.77</v>
      </c>
      <c r="N29" s="96"/>
      <c r="O29" s="73">
        <f t="shared" si="2"/>
        <v>3368752.6950000003</v>
      </c>
      <c r="P29" s="44"/>
      <c r="Q29" s="100">
        <f t="shared" si="3"/>
        <v>870549.7121684329</v>
      </c>
      <c r="R29" s="44"/>
      <c r="S29" s="73">
        <f t="shared" si="4"/>
        <v>1865196.6890713735</v>
      </c>
      <c r="T29" s="63"/>
    </row>
    <row r="30" spans="1:19" s="55" customFormat="1" ht="15">
      <c r="A30" s="79"/>
      <c r="B30" s="79"/>
      <c r="C30" s="79"/>
      <c r="D30" s="79"/>
      <c r="E30" s="93"/>
      <c r="F30" s="79"/>
      <c r="G30" s="79"/>
      <c r="H30" s="79"/>
      <c r="I30" s="80"/>
      <c r="J30" s="79"/>
      <c r="K30" s="80"/>
      <c r="L30" s="79"/>
      <c r="M30" s="80"/>
      <c r="N30" s="94"/>
      <c r="O30" s="72"/>
      <c r="P30" s="79"/>
      <c r="Q30" s="72"/>
      <c r="R30" s="79"/>
      <c r="S30" s="72"/>
    </row>
    <row r="31" spans="1:19" s="55" customFormat="1" ht="15.75" thickBot="1">
      <c r="A31" s="79"/>
      <c r="B31" s="79"/>
      <c r="C31" s="79"/>
      <c r="D31" s="79"/>
      <c r="E31" s="93"/>
      <c r="F31" s="79"/>
      <c r="G31" s="79"/>
      <c r="H31" s="79"/>
      <c r="I31" s="80"/>
      <c r="J31" s="79"/>
      <c r="K31" s="80"/>
      <c r="L31" s="79"/>
      <c r="M31" s="83"/>
      <c r="N31" s="97"/>
      <c r="O31" s="88">
        <f>SUM(O10:O30)</f>
        <v>55489626.885000005</v>
      </c>
      <c r="P31" s="97">
        <f>SUM(P10:P29)</f>
        <v>0</v>
      </c>
      <c r="Q31" s="88">
        <f>SUM(Q10:Q29)</f>
        <v>26830299.026416592</v>
      </c>
      <c r="R31" s="97">
        <f>SUM(R10:R29)</f>
        <v>0</v>
      </c>
      <c r="S31" s="88">
        <f>SUM(S10:S29)</f>
        <v>39735502.74326905</v>
      </c>
    </row>
    <row r="32" spans="3:19" ht="15.75" thickTop="1">
      <c r="C32" s="92" t="s">
        <v>25</v>
      </c>
      <c r="D32" s="47"/>
      <c r="E32" s="91"/>
      <c r="F32" s="3"/>
      <c r="G32" s="3"/>
      <c r="H32" s="3"/>
      <c r="I32" s="26"/>
      <c r="J32" s="3"/>
      <c r="K32" s="26"/>
      <c r="L32" s="3"/>
      <c r="M32" s="26"/>
      <c r="N32" s="31"/>
      <c r="O32" s="59"/>
      <c r="P32" s="3"/>
      <c r="Q32" s="59"/>
      <c r="R32" s="3"/>
      <c r="S32" s="59"/>
    </row>
    <row r="33" spans="3:19" ht="12.75" customHeight="1">
      <c r="C33" s="77" t="s">
        <v>66</v>
      </c>
      <c r="D33" s="4"/>
      <c r="E33" s="23"/>
      <c r="F33" s="3"/>
      <c r="G33" s="3"/>
      <c r="H33" s="3"/>
      <c r="I33" s="26"/>
      <c r="J33" s="3"/>
      <c r="K33" s="26"/>
      <c r="L33" s="3"/>
      <c r="M33" s="26"/>
      <c r="N33" s="31"/>
      <c r="O33" s="59"/>
      <c r="P33" s="3"/>
      <c r="Q33" s="59"/>
      <c r="R33" s="3"/>
      <c r="S33" s="59"/>
    </row>
    <row r="34" spans="3:19" ht="12.75" customHeight="1">
      <c r="C34" s="77" t="s">
        <v>171</v>
      </c>
      <c r="D34" s="4"/>
      <c r="E34" s="23"/>
      <c r="F34" s="3"/>
      <c r="G34" s="3"/>
      <c r="H34" s="3"/>
      <c r="I34" s="26"/>
      <c r="J34" s="3"/>
      <c r="K34" s="26"/>
      <c r="L34" s="3"/>
      <c r="M34" s="26"/>
      <c r="N34" s="31"/>
      <c r="O34" s="59"/>
      <c r="P34" s="3"/>
      <c r="Q34" s="59"/>
      <c r="R34" s="3"/>
      <c r="S34" s="59"/>
    </row>
    <row r="35" spans="3:19" ht="12.75" customHeight="1">
      <c r="C35" s="77" t="s">
        <v>64</v>
      </c>
      <c r="D35" s="4"/>
      <c r="E35" s="23"/>
      <c r="F35" s="3"/>
      <c r="G35" s="3"/>
      <c r="H35" s="3"/>
      <c r="I35" s="26"/>
      <c r="J35" s="3"/>
      <c r="K35" s="26"/>
      <c r="L35" s="3"/>
      <c r="M35" s="26"/>
      <c r="N35" s="31"/>
      <c r="O35" s="59"/>
      <c r="P35" s="3"/>
      <c r="Q35" s="59"/>
      <c r="R35" s="3"/>
      <c r="S35" s="59"/>
    </row>
    <row r="36" spans="3:19" ht="12.75" customHeight="1">
      <c r="C36" s="77" t="s">
        <v>65</v>
      </c>
      <c r="D36" s="4"/>
      <c r="E36" s="23"/>
      <c r="F36" s="3"/>
      <c r="G36" s="3"/>
      <c r="H36" s="3"/>
      <c r="I36" s="26"/>
      <c r="J36" s="3"/>
      <c r="K36" s="26"/>
      <c r="L36" s="3"/>
      <c r="M36" s="26"/>
      <c r="N36" s="31"/>
      <c r="O36" s="59"/>
      <c r="P36" s="3"/>
      <c r="Q36" s="59"/>
      <c r="R36" s="3"/>
      <c r="S36" s="59"/>
    </row>
    <row r="37" spans="3:19" ht="12.75" customHeight="1">
      <c r="C37" s="77" t="s">
        <v>71</v>
      </c>
      <c r="D37" s="4"/>
      <c r="E37" s="23"/>
      <c r="F37" s="3"/>
      <c r="G37" s="3"/>
      <c r="H37" s="3"/>
      <c r="I37" s="26"/>
      <c r="J37" s="3"/>
      <c r="K37" s="26"/>
      <c r="L37" s="3"/>
      <c r="M37" s="26"/>
      <c r="N37" s="31"/>
      <c r="O37" s="59"/>
      <c r="P37" s="3"/>
      <c r="Q37" s="59"/>
      <c r="R37" s="3"/>
      <c r="S37" s="59"/>
    </row>
    <row r="38" spans="3:19" ht="25.5" customHeight="1">
      <c r="C38" s="77"/>
      <c r="D38" s="184" t="s">
        <v>141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98"/>
    </row>
    <row r="39" spans="3:19" ht="12.75" customHeight="1">
      <c r="C39" s="77" t="s">
        <v>143</v>
      </c>
      <c r="D39" s="4"/>
      <c r="E39" s="23"/>
      <c r="F39" s="3"/>
      <c r="G39" s="3"/>
      <c r="H39" s="3"/>
      <c r="I39" s="26"/>
      <c r="J39" s="3"/>
      <c r="K39" s="26"/>
      <c r="L39" s="3"/>
      <c r="M39" s="26"/>
      <c r="N39" s="31"/>
      <c r="O39" s="59"/>
      <c r="P39" s="3"/>
      <c r="Q39" s="59"/>
      <c r="R39" s="3"/>
      <c r="S39" s="59"/>
    </row>
    <row r="40" spans="3:19" ht="12.75" customHeight="1">
      <c r="C40" s="77" t="s">
        <v>8</v>
      </c>
      <c r="D40" s="4"/>
      <c r="E40" s="23"/>
      <c r="F40" s="3"/>
      <c r="G40" s="3"/>
      <c r="H40" s="3"/>
      <c r="I40" s="26"/>
      <c r="J40" s="3"/>
      <c r="K40" s="26"/>
      <c r="L40" s="3"/>
      <c r="M40" s="26"/>
      <c r="N40" s="31"/>
      <c r="O40" s="59"/>
      <c r="P40" s="3"/>
      <c r="Q40" s="59"/>
      <c r="R40" s="3"/>
      <c r="S40" s="59"/>
    </row>
    <row r="41" spans="3:19" ht="12.75" customHeight="1">
      <c r="C41" s="77" t="s">
        <v>9</v>
      </c>
      <c r="D41" s="3"/>
      <c r="E41" s="22"/>
      <c r="F41" s="3"/>
      <c r="G41" s="3"/>
      <c r="H41" s="3"/>
      <c r="I41" s="26"/>
      <c r="J41" s="3"/>
      <c r="K41" s="26"/>
      <c r="L41" s="3"/>
      <c r="M41" s="26"/>
      <c r="N41" s="31"/>
      <c r="O41" s="59"/>
      <c r="P41" s="3"/>
      <c r="Q41" s="59"/>
      <c r="R41" s="3"/>
      <c r="S41" s="59"/>
    </row>
    <row r="42" spans="3:19" ht="12.75" customHeight="1">
      <c r="C42" s="77" t="s">
        <v>144</v>
      </c>
      <c r="D42" s="3"/>
      <c r="E42" s="22"/>
      <c r="F42" s="3"/>
      <c r="G42" s="3"/>
      <c r="H42" s="3"/>
      <c r="I42" s="26"/>
      <c r="J42" s="3"/>
      <c r="K42" s="26"/>
      <c r="L42" s="3"/>
      <c r="M42" s="26"/>
      <c r="N42" s="31"/>
      <c r="O42" s="59"/>
      <c r="P42" s="3"/>
      <c r="Q42" s="59"/>
      <c r="R42" s="3"/>
      <c r="S42" s="59"/>
    </row>
    <row r="43" spans="3:19" ht="12.75" customHeight="1">
      <c r="C43" s="170" t="s">
        <v>29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</row>
    <row r="44" spans="3:19" ht="12.75" customHeight="1">
      <c r="C44" s="3"/>
      <c r="D44" s="3"/>
      <c r="E44" s="3"/>
      <c r="F44" s="3"/>
      <c r="G44" s="3"/>
      <c r="H44" s="3"/>
      <c r="I44" s="3"/>
      <c r="J44" s="3"/>
      <c r="K44" s="26"/>
      <c r="L44" s="3"/>
      <c r="M44" s="26"/>
      <c r="N44" s="3"/>
      <c r="O44" s="59"/>
      <c r="P44" s="3"/>
      <c r="Q44" s="59"/>
      <c r="R44" s="3"/>
      <c r="S44" s="59"/>
    </row>
    <row r="45" spans="3:19" ht="12.75" customHeight="1">
      <c r="C45" s="77" t="s">
        <v>69</v>
      </c>
      <c r="D45" s="3"/>
      <c r="E45" s="3"/>
      <c r="F45" s="3"/>
      <c r="G45" s="3"/>
      <c r="H45" s="3"/>
      <c r="I45" s="3"/>
      <c r="J45" s="3"/>
      <c r="K45" s="26"/>
      <c r="L45" s="3"/>
      <c r="M45" s="26"/>
      <c r="N45" s="3"/>
      <c r="O45" s="59"/>
      <c r="P45" s="3"/>
      <c r="Q45" s="59"/>
      <c r="R45" s="3"/>
      <c r="S45" s="59"/>
    </row>
    <row r="46" spans="3:19" ht="12.75" customHeight="1">
      <c r="C46" s="77" t="s">
        <v>136</v>
      </c>
      <c r="D46" s="3"/>
      <c r="E46" s="3"/>
      <c r="F46" s="3"/>
      <c r="G46" s="3"/>
      <c r="H46" s="3"/>
      <c r="I46" s="3"/>
      <c r="J46" s="3"/>
      <c r="K46" s="26"/>
      <c r="L46" s="3"/>
      <c r="M46" s="26"/>
      <c r="N46" s="3"/>
      <c r="O46" s="59"/>
      <c r="P46" s="3"/>
      <c r="Q46" s="59"/>
      <c r="R46" s="3"/>
      <c r="S46" s="59"/>
    </row>
    <row r="47" spans="3:19" ht="12.75" customHeight="1">
      <c r="C47" s="77" t="s">
        <v>70</v>
      </c>
      <c r="D47" s="3"/>
      <c r="E47" s="3"/>
      <c r="F47" s="3"/>
      <c r="G47" s="3"/>
      <c r="H47" s="3"/>
      <c r="I47" s="3"/>
      <c r="J47" s="3"/>
      <c r="K47" s="26"/>
      <c r="L47" s="3"/>
      <c r="M47" s="26"/>
      <c r="N47" s="3"/>
      <c r="O47" s="59"/>
      <c r="P47" s="3"/>
      <c r="Q47" s="59"/>
      <c r="R47" s="3"/>
      <c r="S47" s="59"/>
    </row>
  </sheetData>
  <sheetProtection/>
  <mergeCells count="12">
    <mergeCell ref="E5:E8"/>
    <mergeCell ref="G5:G8"/>
    <mergeCell ref="I5:I8"/>
    <mergeCell ref="D38:R38"/>
    <mergeCell ref="A7:A8"/>
    <mergeCell ref="C7:C8"/>
    <mergeCell ref="C43:S43"/>
    <mergeCell ref="O5:O8"/>
    <mergeCell ref="K4:K8"/>
    <mergeCell ref="M4:M8"/>
    <mergeCell ref="Q4:Q8"/>
    <mergeCell ref="S4:S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="140" zoomScaleNormal="140" zoomScalePageLayoutView="0" workbookViewId="0" topLeftCell="A1">
      <selection activeCell="A1" sqref="A1:R45"/>
    </sheetView>
  </sheetViews>
  <sheetFormatPr defaultColWidth="9.140625" defaultRowHeight="15"/>
  <cols>
    <col min="1" max="1" width="4.140625" style="0" customWidth="1"/>
    <col min="2" max="2" width="0.5625" style="0" customWidth="1"/>
    <col min="3" max="3" width="7.7109375" style="0" customWidth="1"/>
    <col min="4" max="4" width="0.42578125" style="0" customWidth="1"/>
    <col min="5" max="5" width="9.28125" style="0" customWidth="1"/>
    <col min="6" max="6" width="0.71875" style="0" customWidth="1"/>
    <col min="7" max="7" width="10.140625" style="0" customWidth="1"/>
    <col min="8" max="8" width="0.2890625" style="0" customWidth="1"/>
    <col min="9" max="9" width="9.7109375" style="25" customWidth="1"/>
    <col min="10" max="10" width="0.5625" style="0" customWidth="1"/>
    <col min="11" max="11" width="8.7109375" style="32" customWidth="1"/>
    <col min="12" max="12" width="0.5625" style="0" customWidth="1"/>
    <col min="13" max="13" width="13.421875" style="0" customWidth="1"/>
    <col min="14" max="14" width="0.2890625" style="0" customWidth="1"/>
    <col min="15" max="15" width="12.28125" style="37" customWidth="1"/>
    <col min="16" max="16" width="0.5625" style="0" customWidth="1"/>
    <col min="17" max="17" width="13.00390625" style="37" customWidth="1"/>
    <col min="18" max="18" width="1.1484375" style="0" customWidth="1"/>
    <col min="19" max="19" width="2.8515625" style="0" customWidth="1"/>
    <col min="20" max="20" width="5.00390625" style="0" customWidth="1"/>
    <col min="21" max="21" width="3.00390625" style="0" customWidth="1"/>
    <col min="22" max="22" width="5.140625" style="0" customWidth="1"/>
  </cols>
  <sheetData>
    <row r="1" spans="1:13" ht="23.25">
      <c r="A1" s="2" t="s">
        <v>0</v>
      </c>
      <c r="G1" s="25"/>
      <c r="J1" s="37"/>
      <c r="L1" s="37"/>
      <c r="M1" s="37"/>
    </row>
    <row r="2" spans="1:13" ht="15">
      <c r="A2" t="s">
        <v>137</v>
      </c>
      <c r="G2" s="25"/>
      <c r="J2" s="37"/>
      <c r="L2" s="37"/>
      <c r="M2" s="37"/>
    </row>
    <row r="3" spans="1:13" ht="15">
      <c r="A3" s="1" t="s">
        <v>72</v>
      </c>
      <c r="G3" s="25"/>
      <c r="J3" s="37"/>
      <c r="L3" s="37"/>
      <c r="M3" s="37"/>
    </row>
    <row r="4" spans="7:13" ht="15">
      <c r="G4" s="25"/>
      <c r="J4" s="37"/>
      <c r="L4" s="37"/>
      <c r="M4" s="37"/>
    </row>
    <row r="5" spans="1:17" ht="15">
      <c r="A5" s="3"/>
      <c r="B5" s="4"/>
      <c r="C5" s="4"/>
      <c r="D5" s="4"/>
      <c r="E5" s="23"/>
      <c r="F5" s="4"/>
      <c r="G5" s="27"/>
      <c r="H5" s="4"/>
      <c r="I5" s="27"/>
      <c r="J5" s="38"/>
      <c r="K5" s="187" t="s">
        <v>75</v>
      </c>
      <c r="L5" s="38"/>
      <c r="M5" s="177" t="s">
        <v>76</v>
      </c>
      <c r="N5" s="15"/>
      <c r="O5" s="177" t="s">
        <v>77</v>
      </c>
      <c r="P5" s="5"/>
      <c r="Q5" s="177" t="s">
        <v>78</v>
      </c>
    </row>
    <row r="6" spans="1:17" s="3" customFormat="1" ht="12" customHeight="1">
      <c r="A6" s="4"/>
      <c r="B6" s="4"/>
      <c r="C6" s="4"/>
      <c r="D6" s="4"/>
      <c r="E6" s="182" t="s">
        <v>31</v>
      </c>
      <c r="F6" s="17"/>
      <c r="G6" s="171" t="s">
        <v>73</v>
      </c>
      <c r="H6" s="17"/>
      <c r="I6" s="171" t="s">
        <v>74</v>
      </c>
      <c r="J6" s="39"/>
      <c r="K6" s="187"/>
      <c r="L6" s="39"/>
      <c r="M6" s="177"/>
      <c r="N6" s="19"/>
      <c r="O6" s="177"/>
      <c r="P6" s="5"/>
      <c r="Q6" s="177"/>
    </row>
    <row r="7" spans="1:17" s="3" customFormat="1" ht="15" customHeight="1">
      <c r="A7" s="4"/>
      <c r="B7" s="4"/>
      <c r="C7" s="4"/>
      <c r="D7" s="4"/>
      <c r="E7" s="182"/>
      <c r="F7" s="17"/>
      <c r="G7" s="171"/>
      <c r="H7" s="17"/>
      <c r="I7" s="171"/>
      <c r="J7" s="39"/>
      <c r="K7" s="187"/>
      <c r="L7" s="39"/>
      <c r="M7" s="177"/>
      <c r="N7" s="19"/>
      <c r="O7" s="177"/>
      <c r="P7" s="5"/>
      <c r="Q7" s="177"/>
    </row>
    <row r="8" spans="1:17" s="3" customFormat="1" ht="15" customHeight="1">
      <c r="A8" s="168" t="s">
        <v>12</v>
      </c>
      <c r="B8" s="4"/>
      <c r="C8" s="168" t="s">
        <v>3</v>
      </c>
      <c r="D8" s="4"/>
      <c r="E8" s="182"/>
      <c r="F8" s="17"/>
      <c r="G8" s="171"/>
      <c r="H8" s="17"/>
      <c r="I8" s="171"/>
      <c r="J8" s="39"/>
      <c r="K8" s="187"/>
      <c r="L8" s="39"/>
      <c r="M8" s="177"/>
      <c r="N8" s="19"/>
      <c r="O8" s="177"/>
      <c r="P8" s="5"/>
      <c r="Q8" s="177"/>
    </row>
    <row r="9" spans="1:17" s="3" customFormat="1" ht="15.75" customHeight="1" thickBot="1">
      <c r="A9" s="169"/>
      <c r="B9" s="7"/>
      <c r="C9" s="169"/>
      <c r="D9" s="7"/>
      <c r="E9" s="183"/>
      <c r="F9" s="18"/>
      <c r="G9" s="172"/>
      <c r="H9" s="18"/>
      <c r="I9" s="172"/>
      <c r="J9" s="40"/>
      <c r="K9" s="188"/>
      <c r="L9" s="40"/>
      <c r="M9" s="174"/>
      <c r="N9" s="20"/>
      <c r="O9" s="174"/>
      <c r="P9" s="9"/>
      <c r="Q9" s="174"/>
    </row>
    <row r="10" spans="7:17" s="3" customFormat="1" ht="12">
      <c r="G10" s="26"/>
      <c r="I10" s="26"/>
      <c r="J10" s="59"/>
      <c r="K10" s="33"/>
      <c r="L10" s="59"/>
      <c r="M10" s="59"/>
      <c r="O10" s="59"/>
      <c r="Q10" s="59"/>
    </row>
    <row r="11" spans="1:17" s="3" customFormat="1" ht="12">
      <c r="A11" s="79">
        <v>1</v>
      </c>
      <c r="B11" s="79"/>
      <c r="C11" s="79">
        <v>2019</v>
      </c>
      <c r="D11" s="79"/>
      <c r="E11" s="80">
        <f>SUM(96*80*1300)</f>
        <v>9984000</v>
      </c>
      <c r="F11" s="79"/>
      <c r="G11" s="80">
        <f>SUM(E11/6)</f>
        <v>1664000</v>
      </c>
      <c r="H11" s="79"/>
      <c r="I11" s="80">
        <f>SUM(22.2*G11/2205)</f>
        <v>16753.197278911564</v>
      </c>
      <c r="J11" s="72"/>
      <c r="K11" s="99">
        <v>24.3</v>
      </c>
      <c r="L11" s="72"/>
      <c r="M11" s="72">
        <f>I11*K11</f>
        <v>407102.693877551</v>
      </c>
      <c r="N11" s="79"/>
      <c r="O11" s="72">
        <f>SUM(M11/(1.07)^A11)</f>
        <v>380469.8073621972</v>
      </c>
      <c r="P11" s="79"/>
      <c r="Q11" s="72">
        <f>SUM(M11/(1.03)^A11)</f>
        <v>395245.33386169997</v>
      </c>
    </row>
    <row r="12" spans="1:17" s="3" customFormat="1" ht="12">
      <c r="A12" s="79">
        <v>2</v>
      </c>
      <c r="B12" s="79"/>
      <c r="C12" s="79">
        <v>2020</v>
      </c>
      <c r="D12" s="79"/>
      <c r="E12" s="80">
        <f>SUM(96*80*1300)</f>
        <v>9984000</v>
      </c>
      <c r="F12" s="79"/>
      <c r="G12" s="80">
        <f aca="true" t="shared" si="0" ref="G12:G30">SUM(E12/6)</f>
        <v>1664000</v>
      </c>
      <c r="H12" s="79"/>
      <c r="I12" s="80">
        <f aca="true" t="shared" si="1" ref="I12:I30">SUM(22.2*G12/2205)</f>
        <v>16753.197278911564</v>
      </c>
      <c r="J12" s="72"/>
      <c r="K12" s="99">
        <v>24.8</v>
      </c>
      <c r="L12" s="72"/>
      <c r="M12" s="72">
        <f aca="true" t="shared" si="2" ref="M12:M30">I12*K12</f>
        <v>415479.2925170068</v>
      </c>
      <c r="N12" s="79"/>
      <c r="O12" s="72">
        <f aca="true" t="shared" si="3" ref="O12:O30">SUM(M12/(1.07)^A12)</f>
        <v>362895.7048799081</v>
      </c>
      <c r="P12" s="79"/>
      <c r="Q12" s="72">
        <f aca="true" t="shared" si="4" ref="Q12:Q30">SUM(M12/(1.03)^A12)</f>
        <v>391629.0814563171</v>
      </c>
    </row>
    <row r="13" spans="1:17" s="3" customFormat="1" ht="12">
      <c r="A13" s="79">
        <v>3</v>
      </c>
      <c r="B13" s="79"/>
      <c r="C13" s="79">
        <v>2021</v>
      </c>
      <c r="D13" s="79"/>
      <c r="E13" s="80">
        <f>SUM(96*80*1300)</f>
        <v>9984000</v>
      </c>
      <c r="F13" s="79"/>
      <c r="G13" s="80">
        <f t="shared" si="0"/>
        <v>1664000</v>
      </c>
      <c r="H13" s="79"/>
      <c r="I13" s="80">
        <f t="shared" si="1"/>
        <v>16753.197278911564</v>
      </c>
      <c r="J13" s="72"/>
      <c r="K13" s="99">
        <v>25.3</v>
      </c>
      <c r="L13" s="72"/>
      <c r="M13" s="72">
        <f t="shared" si="2"/>
        <v>423855.8911564626</v>
      </c>
      <c r="N13" s="79"/>
      <c r="O13" s="72">
        <f t="shared" si="3"/>
        <v>345992.66405870044</v>
      </c>
      <c r="P13" s="79"/>
      <c r="Q13" s="72">
        <f t="shared" si="4"/>
        <v>387888.1835595374</v>
      </c>
    </row>
    <row r="14" spans="1:17" s="3" customFormat="1" ht="12">
      <c r="A14" s="79">
        <v>4</v>
      </c>
      <c r="B14" s="79"/>
      <c r="C14" s="79">
        <v>2022</v>
      </c>
      <c r="D14" s="79"/>
      <c r="E14" s="80">
        <f>SUM(96*80*1300)</f>
        <v>9984000</v>
      </c>
      <c r="F14" s="79"/>
      <c r="G14" s="80">
        <f t="shared" si="0"/>
        <v>1664000</v>
      </c>
      <c r="H14" s="79"/>
      <c r="I14" s="80">
        <f t="shared" si="1"/>
        <v>16753.197278911564</v>
      </c>
      <c r="J14" s="72"/>
      <c r="K14" s="99">
        <v>25.8</v>
      </c>
      <c r="L14" s="72"/>
      <c r="M14" s="72">
        <f t="shared" si="2"/>
        <v>432232.48979591834</v>
      </c>
      <c r="N14" s="79"/>
      <c r="O14" s="72">
        <f t="shared" si="3"/>
        <v>329748.09695668693</v>
      </c>
      <c r="P14" s="79"/>
      <c r="Q14" s="72">
        <f t="shared" si="4"/>
        <v>384032.96887202363</v>
      </c>
    </row>
    <row r="15" spans="1:17" s="3" customFormat="1" ht="12">
      <c r="A15" s="79">
        <v>5</v>
      </c>
      <c r="B15" s="79"/>
      <c r="C15" s="79">
        <v>2023</v>
      </c>
      <c r="D15" s="79"/>
      <c r="E15" s="80">
        <f>SUM(192*80*1300)</f>
        <v>19968000</v>
      </c>
      <c r="F15" s="79"/>
      <c r="G15" s="80">
        <f t="shared" si="0"/>
        <v>3328000</v>
      </c>
      <c r="H15" s="79"/>
      <c r="I15" s="80">
        <f t="shared" si="1"/>
        <v>33506.39455782313</v>
      </c>
      <c r="J15" s="72"/>
      <c r="K15" s="99">
        <v>26.3</v>
      </c>
      <c r="L15" s="72"/>
      <c r="M15" s="72">
        <f t="shared" si="2"/>
        <v>881218.1768707483</v>
      </c>
      <c r="N15" s="79"/>
      <c r="O15" s="72">
        <f t="shared" si="3"/>
        <v>628296.3812186384</v>
      </c>
      <c r="P15" s="79"/>
      <c r="Q15" s="72">
        <f t="shared" si="4"/>
        <v>760146.5403277054</v>
      </c>
    </row>
    <row r="16" spans="1:17" s="3" customFormat="1" ht="12">
      <c r="A16" s="79">
        <v>6</v>
      </c>
      <c r="B16" s="79"/>
      <c r="C16" s="79">
        <v>2024</v>
      </c>
      <c r="D16" s="79"/>
      <c r="E16" s="80">
        <f>SUM(192*80*1300)</f>
        <v>19968000</v>
      </c>
      <c r="F16" s="79"/>
      <c r="G16" s="80">
        <f t="shared" si="0"/>
        <v>3328000</v>
      </c>
      <c r="H16" s="79"/>
      <c r="I16" s="80">
        <f t="shared" si="1"/>
        <v>33506.39455782313</v>
      </c>
      <c r="J16" s="72"/>
      <c r="K16" s="99">
        <v>26.8</v>
      </c>
      <c r="L16" s="72"/>
      <c r="M16" s="72">
        <f t="shared" si="2"/>
        <v>897971.3741496599</v>
      </c>
      <c r="N16" s="79"/>
      <c r="O16" s="72">
        <f t="shared" si="3"/>
        <v>598356.2423744539</v>
      </c>
      <c r="P16" s="79"/>
      <c r="Q16" s="72">
        <f t="shared" si="4"/>
        <v>752036.8888029277</v>
      </c>
    </row>
    <row r="17" spans="1:17" s="3" customFormat="1" ht="12">
      <c r="A17" s="79">
        <v>7</v>
      </c>
      <c r="B17" s="79"/>
      <c r="C17" s="79">
        <v>2025</v>
      </c>
      <c r="D17" s="79"/>
      <c r="E17" s="80">
        <f>SUM(192*80*1300)</f>
        <v>19968000</v>
      </c>
      <c r="F17" s="79"/>
      <c r="G17" s="80">
        <f t="shared" si="0"/>
        <v>3328000</v>
      </c>
      <c r="H17" s="79"/>
      <c r="I17" s="80">
        <f t="shared" si="1"/>
        <v>33506.39455782313</v>
      </c>
      <c r="J17" s="72"/>
      <c r="K17" s="99">
        <v>27.3</v>
      </c>
      <c r="L17" s="72"/>
      <c r="M17" s="72">
        <f t="shared" si="2"/>
        <v>914724.5714285715</v>
      </c>
      <c r="N17" s="79"/>
      <c r="O17" s="72">
        <f t="shared" si="3"/>
        <v>569644.4907526361</v>
      </c>
      <c r="P17" s="79"/>
      <c r="Q17" s="72">
        <f t="shared" si="4"/>
        <v>743754.7842457588</v>
      </c>
    </row>
    <row r="18" spans="1:17" s="3" customFormat="1" ht="12">
      <c r="A18" s="79">
        <v>8</v>
      </c>
      <c r="B18" s="79"/>
      <c r="C18" s="79">
        <v>2026</v>
      </c>
      <c r="D18" s="79"/>
      <c r="E18" s="80">
        <f>SUM(200*80*1300)</f>
        <v>20800000</v>
      </c>
      <c r="F18" s="79"/>
      <c r="G18" s="80">
        <f t="shared" si="0"/>
        <v>3466666.6666666665</v>
      </c>
      <c r="H18" s="79"/>
      <c r="I18" s="80">
        <f t="shared" si="1"/>
        <v>34902.49433106576</v>
      </c>
      <c r="J18" s="72"/>
      <c r="K18" s="99">
        <v>27.8</v>
      </c>
      <c r="L18" s="72"/>
      <c r="M18" s="72">
        <f t="shared" si="2"/>
        <v>970289.3424036282</v>
      </c>
      <c r="N18" s="79"/>
      <c r="O18" s="72">
        <f t="shared" si="3"/>
        <v>564717.2313413356</v>
      </c>
      <c r="P18" s="79"/>
      <c r="Q18" s="72">
        <f t="shared" si="4"/>
        <v>765955.3668498204</v>
      </c>
    </row>
    <row r="19" spans="1:17" s="3" customFormat="1" ht="12">
      <c r="A19" s="79">
        <v>9</v>
      </c>
      <c r="B19" s="79"/>
      <c r="C19" s="79">
        <v>2027</v>
      </c>
      <c r="D19" s="79"/>
      <c r="E19" s="80">
        <f>SUM(200*80*1300)</f>
        <v>20800000</v>
      </c>
      <c r="F19" s="79"/>
      <c r="G19" s="80">
        <f t="shared" si="0"/>
        <v>3466666.6666666665</v>
      </c>
      <c r="H19" s="79"/>
      <c r="I19" s="80">
        <f t="shared" si="1"/>
        <v>34902.49433106576</v>
      </c>
      <c r="J19" s="72"/>
      <c r="K19" s="99">
        <v>28.3</v>
      </c>
      <c r="L19" s="72"/>
      <c r="M19" s="72">
        <f t="shared" si="2"/>
        <v>987740.5895691611</v>
      </c>
      <c r="N19" s="79"/>
      <c r="O19" s="72">
        <f t="shared" si="3"/>
        <v>537265.4355866266</v>
      </c>
      <c r="P19" s="79"/>
      <c r="Q19" s="72">
        <f t="shared" si="4"/>
        <v>757020.915060764</v>
      </c>
    </row>
    <row r="20" spans="1:17" s="3" customFormat="1" ht="12">
      <c r="A20" s="79">
        <v>10</v>
      </c>
      <c r="B20" s="79"/>
      <c r="C20" s="79">
        <v>2028</v>
      </c>
      <c r="D20" s="79"/>
      <c r="E20" s="80">
        <f>SUM(200*80*1300)</f>
        <v>20800000</v>
      </c>
      <c r="F20" s="79"/>
      <c r="G20" s="80">
        <f t="shared" si="0"/>
        <v>3466666.6666666665</v>
      </c>
      <c r="H20" s="79"/>
      <c r="I20" s="80">
        <f t="shared" si="1"/>
        <v>34902.49433106576</v>
      </c>
      <c r="J20" s="72"/>
      <c r="K20" s="99">
        <v>28.8</v>
      </c>
      <c r="L20" s="72"/>
      <c r="M20" s="72">
        <f t="shared" si="2"/>
        <v>1005191.836734694</v>
      </c>
      <c r="N20" s="79"/>
      <c r="O20" s="72">
        <f t="shared" si="3"/>
        <v>510988.5586636785</v>
      </c>
      <c r="P20" s="79"/>
      <c r="Q20" s="72">
        <f t="shared" si="4"/>
        <v>747957.1290181483</v>
      </c>
    </row>
    <row r="21" spans="1:17" s="3" customFormat="1" ht="12">
      <c r="A21" s="79">
        <v>11</v>
      </c>
      <c r="B21" s="79"/>
      <c r="C21" s="79">
        <v>2029</v>
      </c>
      <c r="D21" s="79"/>
      <c r="E21" s="80">
        <f>SUM(216*80*1300)</f>
        <v>22464000</v>
      </c>
      <c r="F21" s="79"/>
      <c r="G21" s="80">
        <f t="shared" si="0"/>
        <v>3744000</v>
      </c>
      <c r="H21" s="79"/>
      <c r="I21" s="80">
        <f t="shared" si="1"/>
        <v>37694.69387755102</v>
      </c>
      <c r="J21" s="72"/>
      <c r="K21" s="99">
        <v>29.3</v>
      </c>
      <c r="L21" s="72"/>
      <c r="M21" s="72">
        <f t="shared" si="2"/>
        <v>1104454.530612245</v>
      </c>
      <c r="N21" s="79"/>
      <c r="O21" s="72">
        <f t="shared" si="3"/>
        <v>524718.3914315109</v>
      </c>
      <c r="P21" s="79"/>
      <c r="Q21" s="72">
        <f t="shared" si="4"/>
        <v>797881.4519501848</v>
      </c>
    </row>
    <row r="22" spans="1:17" s="3" customFormat="1" ht="12">
      <c r="A22" s="79">
        <v>12</v>
      </c>
      <c r="B22" s="79"/>
      <c r="C22" s="79">
        <v>2030</v>
      </c>
      <c r="D22" s="79"/>
      <c r="E22" s="80">
        <f>SUM(216*80*1300)</f>
        <v>22464000</v>
      </c>
      <c r="F22" s="79"/>
      <c r="G22" s="80">
        <f t="shared" si="0"/>
        <v>3744000</v>
      </c>
      <c r="H22" s="79"/>
      <c r="I22" s="80">
        <f t="shared" si="1"/>
        <v>37694.69387755102</v>
      </c>
      <c r="J22" s="72"/>
      <c r="K22" s="99">
        <v>29.8</v>
      </c>
      <c r="L22" s="72"/>
      <c r="M22" s="72">
        <f t="shared" si="2"/>
        <v>1123301.8775510204</v>
      </c>
      <c r="N22" s="79"/>
      <c r="O22" s="72">
        <f t="shared" si="3"/>
        <v>498759.46747022506</v>
      </c>
      <c r="P22" s="79"/>
      <c r="Q22" s="72">
        <f t="shared" si="4"/>
        <v>787861.3362972765</v>
      </c>
    </row>
    <row r="23" spans="1:17" s="3" customFormat="1" ht="12">
      <c r="A23" s="79">
        <v>13</v>
      </c>
      <c r="B23" s="79"/>
      <c r="C23" s="79">
        <v>2031</v>
      </c>
      <c r="D23" s="79"/>
      <c r="E23" s="80">
        <f>SUM(216*80*1300)</f>
        <v>22464000</v>
      </c>
      <c r="F23" s="79"/>
      <c r="G23" s="80">
        <f t="shared" si="0"/>
        <v>3744000</v>
      </c>
      <c r="H23" s="79"/>
      <c r="I23" s="80">
        <f t="shared" si="1"/>
        <v>37694.69387755102</v>
      </c>
      <c r="J23" s="72"/>
      <c r="K23" s="99">
        <v>30.3</v>
      </c>
      <c r="L23" s="72"/>
      <c r="M23" s="72">
        <f t="shared" si="2"/>
        <v>1142149.224489796</v>
      </c>
      <c r="N23" s="79"/>
      <c r="O23" s="72">
        <f t="shared" si="3"/>
        <v>473951.3223467296</v>
      </c>
      <c r="P23" s="79"/>
      <c r="Q23" s="72">
        <f t="shared" si="4"/>
        <v>777748.0448884956</v>
      </c>
    </row>
    <row r="24" spans="1:17" s="3" customFormat="1" ht="12">
      <c r="A24" s="79">
        <v>14</v>
      </c>
      <c r="B24" s="79"/>
      <c r="C24" s="79">
        <v>2032</v>
      </c>
      <c r="D24" s="79"/>
      <c r="E24" s="80">
        <f>SUM(216*80*1300)</f>
        <v>22464000</v>
      </c>
      <c r="F24" s="79"/>
      <c r="G24" s="80">
        <f t="shared" si="0"/>
        <v>3744000</v>
      </c>
      <c r="H24" s="79"/>
      <c r="I24" s="80">
        <f t="shared" si="1"/>
        <v>37694.69387755102</v>
      </c>
      <c r="J24" s="72"/>
      <c r="K24" s="99">
        <v>30.8</v>
      </c>
      <c r="L24" s="72"/>
      <c r="M24" s="72">
        <f t="shared" si="2"/>
        <v>1160996.5714285714</v>
      </c>
      <c r="N24" s="79"/>
      <c r="O24" s="72">
        <f t="shared" si="3"/>
        <v>450254.48716200213</v>
      </c>
      <c r="P24" s="79"/>
      <c r="Q24" s="72">
        <f t="shared" si="4"/>
        <v>767555.5058657969</v>
      </c>
    </row>
    <row r="25" spans="1:17" s="3" customFormat="1" ht="12">
      <c r="A25" s="79">
        <v>15</v>
      </c>
      <c r="B25" s="79"/>
      <c r="C25" s="79">
        <v>2033</v>
      </c>
      <c r="D25" s="79"/>
      <c r="E25" s="80">
        <f>SUM(224*80*1300)</f>
        <v>23296000</v>
      </c>
      <c r="F25" s="79"/>
      <c r="G25" s="80">
        <f t="shared" si="0"/>
        <v>3882666.6666666665</v>
      </c>
      <c r="H25" s="79"/>
      <c r="I25" s="80">
        <f t="shared" si="1"/>
        <v>39090.793650793654</v>
      </c>
      <c r="J25" s="72"/>
      <c r="K25" s="99">
        <v>31.3</v>
      </c>
      <c r="L25" s="72"/>
      <c r="M25" s="72">
        <f t="shared" si="2"/>
        <v>1223541.8412698414</v>
      </c>
      <c r="N25" s="79"/>
      <c r="O25" s="72">
        <f t="shared" si="3"/>
        <v>443467.87023413787</v>
      </c>
      <c r="P25" s="79"/>
      <c r="Q25" s="72">
        <f t="shared" si="4"/>
        <v>785344.948958826</v>
      </c>
    </row>
    <row r="26" spans="1:17" s="3" customFormat="1" ht="12">
      <c r="A26" s="79">
        <v>16</v>
      </c>
      <c r="B26" s="79"/>
      <c r="C26" s="79">
        <v>2034</v>
      </c>
      <c r="D26" s="79"/>
      <c r="E26" s="80">
        <f>SUM(224*80*1300)</f>
        <v>23296000</v>
      </c>
      <c r="F26" s="79"/>
      <c r="G26" s="80">
        <f t="shared" si="0"/>
        <v>3882666.6666666665</v>
      </c>
      <c r="H26" s="79"/>
      <c r="I26" s="80">
        <f t="shared" si="1"/>
        <v>39090.793650793654</v>
      </c>
      <c r="J26" s="72"/>
      <c r="K26" s="99">
        <v>31.8</v>
      </c>
      <c r="L26" s="72"/>
      <c r="M26" s="72">
        <f t="shared" si="2"/>
        <v>1243087.238095238</v>
      </c>
      <c r="N26" s="79"/>
      <c r="O26" s="72">
        <f t="shared" si="3"/>
        <v>421076.65562227415</v>
      </c>
      <c r="P26" s="79"/>
      <c r="Q26" s="72">
        <f t="shared" si="4"/>
        <v>774650.869347395</v>
      </c>
    </row>
    <row r="27" spans="1:17" s="3" customFormat="1" ht="12">
      <c r="A27" s="79">
        <v>17</v>
      </c>
      <c r="B27" s="79"/>
      <c r="C27" s="79">
        <v>2035</v>
      </c>
      <c r="D27" s="79"/>
      <c r="E27" s="80">
        <f>SUM(224*80*1300)</f>
        <v>23296000</v>
      </c>
      <c r="F27" s="79"/>
      <c r="G27" s="80">
        <f t="shared" si="0"/>
        <v>3882666.6666666665</v>
      </c>
      <c r="H27" s="79"/>
      <c r="I27" s="80">
        <f t="shared" si="1"/>
        <v>39090.793650793654</v>
      </c>
      <c r="J27" s="72"/>
      <c r="K27" s="99">
        <v>32.3</v>
      </c>
      <c r="L27" s="72"/>
      <c r="M27" s="72">
        <f t="shared" si="2"/>
        <v>1262632.6349206348</v>
      </c>
      <c r="N27" s="79"/>
      <c r="O27" s="72">
        <f t="shared" si="3"/>
        <v>399717.15678009327</v>
      </c>
      <c r="P27" s="79"/>
      <c r="Q27" s="72">
        <f t="shared" si="4"/>
        <v>763913.509187301</v>
      </c>
    </row>
    <row r="28" spans="1:17" s="3" customFormat="1" ht="12">
      <c r="A28" s="79">
        <v>18</v>
      </c>
      <c r="B28" s="79"/>
      <c r="C28" s="79">
        <v>2036</v>
      </c>
      <c r="D28" s="79"/>
      <c r="E28" s="80">
        <f>SUM(231*80*1300)</f>
        <v>24024000</v>
      </c>
      <c r="F28" s="79"/>
      <c r="G28" s="80">
        <f t="shared" si="0"/>
        <v>4004000</v>
      </c>
      <c r="H28" s="79"/>
      <c r="I28" s="80">
        <f t="shared" si="1"/>
        <v>40312.380952380954</v>
      </c>
      <c r="J28" s="72"/>
      <c r="K28" s="99">
        <v>32.8</v>
      </c>
      <c r="L28" s="72"/>
      <c r="M28" s="72">
        <f t="shared" si="2"/>
        <v>1322246.0952380951</v>
      </c>
      <c r="N28" s="79"/>
      <c r="O28" s="72">
        <f t="shared" si="3"/>
        <v>391204.9080780838</v>
      </c>
      <c r="P28" s="79"/>
      <c r="Q28" s="72">
        <f t="shared" si="4"/>
        <v>776680.2262845429</v>
      </c>
    </row>
    <row r="29" spans="1:17" s="3" customFormat="1" ht="12">
      <c r="A29" s="79">
        <v>19</v>
      </c>
      <c r="B29" s="79"/>
      <c r="C29" s="79">
        <v>2037</v>
      </c>
      <c r="D29" s="79"/>
      <c r="E29" s="80">
        <f>SUM(231*80*1300)</f>
        <v>24024000</v>
      </c>
      <c r="F29" s="79"/>
      <c r="G29" s="80">
        <f t="shared" si="0"/>
        <v>4004000</v>
      </c>
      <c r="H29" s="79"/>
      <c r="I29" s="80">
        <f t="shared" si="1"/>
        <v>40312.380952380954</v>
      </c>
      <c r="J29" s="72"/>
      <c r="K29" s="99">
        <v>33.3</v>
      </c>
      <c r="L29" s="72"/>
      <c r="M29" s="72">
        <f t="shared" si="2"/>
        <v>1342402.2857142857</v>
      </c>
      <c r="N29" s="79"/>
      <c r="O29" s="72">
        <f t="shared" si="3"/>
        <v>371185.4182527978</v>
      </c>
      <c r="P29" s="79"/>
      <c r="Q29" s="72">
        <f t="shared" si="4"/>
        <v>765553.2659032466</v>
      </c>
    </row>
    <row r="30" spans="1:18" s="3" customFormat="1" ht="12">
      <c r="A30" s="79">
        <v>20</v>
      </c>
      <c r="B30" s="79"/>
      <c r="C30" s="79">
        <v>2038</v>
      </c>
      <c r="D30" s="79"/>
      <c r="E30" s="90">
        <f>SUM(231*80*1300)</f>
        <v>24024000</v>
      </c>
      <c r="F30" s="44"/>
      <c r="G30" s="90">
        <f t="shared" si="0"/>
        <v>4004000</v>
      </c>
      <c r="H30" s="44"/>
      <c r="I30" s="90">
        <f t="shared" si="1"/>
        <v>40312.380952380954</v>
      </c>
      <c r="J30" s="73"/>
      <c r="K30" s="100">
        <v>33.8</v>
      </c>
      <c r="L30" s="73"/>
      <c r="M30" s="73">
        <f t="shared" si="2"/>
        <v>1362558.4761904762</v>
      </c>
      <c r="N30" s="44"/>
      <c r="O30" s="73">
        <f t="shared" si="3"/>
        <v>352111.0026927273</v>
      </c>
      <c r="P30" s="44"/>
      <c r="Q30" s="73">
        <f t="shared" si="4"/>
        <v>754415.5919277453</v>
      </c>
      <c r="R30" s="47"/>
    </row>
    <row r="31" spans="1:17" s="3" customFormat="1" ht="12">
      <c r="A31" s="79"/>
      <c r="B31" s="79"/>
      <c r="C31" s="79"/>
      <c r="D31" s="79"/>
      <c r="E31" s="79"/>
      <c r="F31" s="79"/>
      <c r="G31" s="80"/>
      <c r="H31" s="79"/>
      <c r="I31" s="80"/>
      <c r="J31" s="72"/>
      <c r="K31" s="99"/>
      <c r="L31" s="72"/>
      <c r="M31" s="72"/>
      <c r="N31" s="79"/>
      <c r="O31" s="72"/>
      <c r="P31" s="79"/>
      <c r="Q31" s="72"/>
    </row>
    <row r="32" spans="1:18" s="3" customFormat="1" ht="12.75" thickBot="1">
      <c r="A32" s="79"/>
      <c r="B32" s="79"/>
      <c r="C32" s="79"/>
      <c r="D32" s="79"/>
      <c r="E32" s="79"/>
      <c r="F32" s="79"/>
      <c r="G32" s="80"/>
      <c r="H32" s="78"/>
      <c r="I32" s="83"/>
      <c r="J32" s="54"/>
      <c r="K32" s="101"/>
      <c r="L32" s="88"/>
      <c r="M32" s="88">
        <f>SUM(M11:M31)</f>
        <v>19623177.03401361</v>
      </c>
      <c r="N32" s="88"/>
      <c r="O32" s="88">
        <f>SUM(O11:O30)</f>
        <v>9154821.293265443</v>
      </c>
      <c r="P32" s="88"/>
      <c r="Q32" s="88">
        <f>SUM(Q11:Q30)</f>
        <v>13837271.942665514</v>
      </c>
      <c r="R32" s="74"/>
    </row>
    <row r="33" spans="7:17" s="3" customFormat="1" ht="12.75" thickTop="1">
      <c r="G33" s="26"/>
      <c r="I33" s="26"/>
      <c r="J33" s="59"/>
      <c r="K33" s="33"/>
      <c r="L33" s="59"/>
      <c r="M33" s="59"/>
      <c r="O33" s="59"/>
      <c r="Q33" s="59"/>
    </row>
    <row r="34" spans="7:17" s="3" customFormat="1" ht="12">
      <c r="G34" s="26"/>
      <c r="I34" s="26"/>
      <c r="J34" s="59"/>
      <c r="K34" s="33"/>
      <c r="L34" s="59"/>
      <c r="M34" s="59"/>
      <c r="O34" s="59"/>
      <c r="Q34" s="59"/>
    </row>
    <row r="35" spans="2:17" s="3" customFormat="1" ht="12">
      <c r="B35" s="76" t="s">
        <v>25</v>
      </c>
      <c r="G35" s="26"/>
      <c r="I35" s="26"/>
      <c r="J35" s="59"/>
      <c r="K35" s="33"/>
      <c r="L35" s="59"/>
      <c r="M35" s="59"/>
      <c r="O35" s="59"/>
      <c r="Q35" s="59"/>
    </row>
    <row r="36" spans="2:17" s="3" customFormat="1" ht="12">
      <c r="B36" s="77" t="s">
        <v>79</v>
      </c>
      <c r="C36" s="77"/>
      <c r="D36" s="77"/>
      <c r="G36" s="26"/>
      <c r="I36" s="26"/>
      <c r="J36" s="59"/>
      <c r="K36" s="33"/>
      <c r="L36" s="59"/>
      <c r="M36" s="59"/>
      <c r="O36" s="59"/>
      <c r="Q36" s="59"/>
    </row>
    <row r="37" spans="2:17" s="3" customFormat="1" ht="12">
      <c r="B37" s="77"/>
      <c r="C37" s="77" t="s">
        <v>80</v>
      </c>
      <c r="D37" s="77"/>
      <c r="G37" s="26"/>
      <c r="I37" s="26"/>
      <c r="J37" s="59"/>
      <c r="K37" s="33"/>
      <c r="L37" s="59"/>
      <c r="M37" s="59"/>
      <c r="O37" s="59"/>
      <c r="Q37" s="59"/>
    </row>
    <row r="38" spans="2:17" s="3" customFormat="1" ht="12">
      <c r="B38" s="77"/>
      <c r="C38" s="77" t="s">
        <v>81</v>
      </c>
      <c r="D38" s="77"/>
      <c r="G38" s="26"/>
      <c r="I38" s="26"/>
      <c r="J38" s="59"/>
      <c r="K38" s="33"/>
      <c r="L38" s="59"/>
      <c r="M38" s="59"/>
      <c r="O38" s="59"/>
      <c r="Q38" s="59"/>
    </row>
    <row r="39" spans="2:17" s="3" customFormat="1" ht="12">
      <c r="B39" s="77"/>
      <c r="C39" s="77" t="s">
        <v>82</v>
      </c>
      <c r="D39" s="77"/>
      <c r="G39" s="26"/>
      <c r="I39" s="26"/>
      <c r="J39" s="59"/>
      <c r="K39" s="33"/>
      <c r="L39" s="59"/>
      <c r="M39" s="59"/>
      <c r="O39" s="59"/>
      <c r="Q39" s="59"/>
    </row>
    <row r="40" spans="2:17" s="3" customFormat="1" ht="12">
      <c r="B40" s="77" t="s">
        <v>83</v>
      </c>
      <c r="C40" s="77"/>
      <c r="D40" s="77"/>
      <c r="G40" s="26"/>
      <c r="I40" s="26"/>
      <c r="J40" s="59"/>
      <c r="K40" s="33"/>
      <c r="L40" s="59"/>
      <c r="M40" s="59"/>
      <c r="O40" s="59"/>
      <c r="Q40" s="59"/>
    </row>
    <row r="41" spans="2:17" s="3" customFormat="1" ht="12">
      <c r="B41" s="77" t="s">
        <v>84</v>
      </c>
      <c r="C41" s="77"/>
      <c r="D41" s="77"/>
      <c r="G41" s="26"/>
      <c r="I41" s="26"/>
      <c r="J41" s="59"/>
      <c r="K41" s="33"/>
      <c r="L41" s="59"/>
      <c r="M41" s="59"/>
      <c r="O41" s="59"/>
      <c r="Q41" s="59"/>
    </row>
    <row r="42" spans="2:17" s="3" customFormat="1" ht="12">
      <c r="B42" s="76"/>
      <c r="C42" s="3" t="s">
        <v>85</v>
      </c>
      <c r="G42" s="26"/>
      <c r="I42" s="26"/>
      <c r="J42" s="59"/>
      <c r="K42" s="33"/>
      <c r="L42" s="59"/>
      <c r="M42" s="59"/>
      <c r="O42" s="59"/>
      <c r="Q42" s="59"/>
    </row>
    <row r="43" spans="2:17" s="3" customFormat="1" ht="12">
      <c r="B43" s="76"/>
      <c r="C43" s="3" t="s">
        <v>86</v>
      </c>
      <c r="G43" s="26"/>
      <c r="I43" s="26"/>
      <c r="J43" s="59"/>
      <c r="K43" s="33"/>
      <c r="L43" s="59"/>
      <c r="M43" s="59"/>
      <c r="O43" s="59"/>
      <c r="Q43" s="59"/>
    </row>
    <row r="44" spans="2:17" s="3" customFormat="1" ht="12">
      <c r="B44" s="77" t="s">
        <v>9</v>
      </c>
      <c r="G44" s="26"/>
      <c r="I44" s="26"/>
      <c r="J44" s="59"/>
      <c r="K44" s="33"/>
      <c r="L44" s="59"/>
      <c r="M44" s="59"/>
      <c r="O44" s="59"/>
      <c r="Q44" s="59"/>
    </row>
    <row r="45" spans="2:18" s="3" customFormat="1" ht="12">
      <c r="B45" s="170" t="s">
        <v>38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</sheetData>
  <sheetProtection/>
  <mergeCells count="10">
    <mergeCell ref="A8:A9"/>
    <mergeCell ref="C8:C9"/>
    <mergeCell ref="B45:R45"/>
    <mergeCell ref="M5:M9"/>
    <mergeCell ref="K5:K9"/>
    <mergeCell ref="O5:O9"/>
    <mergeCell ref="Q5:Q9"/>
    <mergeCell ref="E6:E9"/>
    <mergeCell ref="G6:G9"/>
    <mergeCell ref="I6:I9"/>
  </mergeCells>
  <printOptions/>
  <pageMargins left="0.7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="120" zoomScaleNormal="120" zoomScalePageLayoutView="0" workbookViewId="0" topLeftCell="A1">
      <selection activeCell="S13" sqref="S13"/>
    </sheetView>
  </sheetViews>
  <sheetFormatPr defaultColWidth="9.140625" defaultRowHeight="15"/>
  <cols>
    <col min="1" max="1" width="4.28125" style="0" customWidth="1"/>
    <col min="2" max="2" width="0.5625" style="0" customWidth="1"/>
    <col min="3" max="3" width="7.7109375" style="0" customWidth="1"/>
    <col min="4" max="4" width="0.42578125" style="0" customWidth="1"/>
    <col min="5" max="5" width="7.28125" style="0" customWidth="1"/>
    <col min="6" max="6" width="0.2890625" style="0" customWidth="1"/>
    <col min="7" max="7" width="7.140625" style="0" customWidth="1"/>
    <col min="8" max="8" width="0.42578125" style="0" customWidth="1"/>
    <col min="9" max="9" width="7.140625" style="0" customWidth="1"/>
    <col min="10" max="10" width="0.71875" style="0" customWidth="1"/>
    <col min="11" max="11" width="7.140625" style="0" customWidth="1"/>
    <col min="12" max="12" width="0.71875" style="0" customWidth="1"/>
    <col min="13" max="13" width="9.57421875" style="0" customWidth="1"/>
    <col min="14" max="14" width="0.85546875" style="0" customWidth="1"/>
    <col min="15" max="15" width="9.00390625" style="25" customWidth="1"/>
    <col min="16" max="16" width="0.42578125" style="0" customWidth="1"/>
    <col min="17" max="17" width="9.00390625" style="32" customWidth="1"/>
    <col min="18" max="18" width="0.42578125" style="0" customWidth="1"/>
    <col min="19" max="19" width="9.421875" style="0" customWidth="1"/>
    <col min="20" max="20" width="0.85546875" style="0" customWidth="1"/>
    <col min="21" max="21" width="11.7109375" style="0" customWidth="1"/>
    <col min="22" max="22" width="0.5625" style="0" customWidth="1"/>
    <col min="23" max="23" width="11.57421875" style="0" customWidth="1"/>
    <col min="24" max="24" width="0.71875" style="0" customWidth="1"/>
    <col min="25" max="25" width="3.57421875" style="0" customWidth="1"/>
    <col min="26" max="26" width="7.7109375" style="0" customWidth="1"/>
    <col min="27" max="27" width="3.00390625" style="0" customWidth="1"/>
    <col min="28" max="28" width="7.7109375" style="0" customWidth="1"/>
  </cols>
  <sheetData>
    <row r="1" spans="1:23" ht="23.25">
      <c r="A1" s="2" t="s">
        <v>0</v>
      </c>
      <c r="E1" s="21"/>
      <c r="I1" s="25"/>
      <c r="K1" s="25"/>
      <c r="M1" s="25"/>
      <c r="N1" s="16"/>
      <c r="P1" s="37"/>
      <c r="R1" s="37"/>
      <c r="S1" s="37"/>
      <c r="U1" s="37"/>
      <c r="W1" s="37"/>
    </row>
    <row r="2" spans="1:23" ht="15">
      <c r="A2" t="s">
        <v>137</v>
      </c>
      <c r="E2" s="21"/>
      <c r="I2" s="25"/>
      <c r="K2" s="25"/>
      <c r="M2" s="25"/>
      <c r="N2" s="16"/>
      <c r="P2" s="37"/>
      <c r="R2" s="37"/>
      <c r="S2" s="37"/>
      <c r="U2" s="37"/>
      <c r="W2" s="37"/>
    </row>
    <row r="3" spans="1:23" ht="15">
      <c r="A3" s="1" t="s">
        <v>87</v>
      </c>
      <c r="E3" s="21"/>
      <c r="I3" s="25"/>
      <c r="K3" s="25"/>
      <c r="M3" s="25"/>
      <c r="N3" s="16"/>
      <c r="P3" s="37"/>
      <c r="R3" s="37"/>
      <c r="S3" s="37"/>
      <c r="U3" s="37"/>
      <c r="W3" s="37"/>
    </row>
    <row r="4" spans="1:24" ht="13.5" customHeight="1">
      <c r="A4" s="3"/>
      <c r="B4" s="3"/>
      <c r="C4" s="3"/>
      <c r="D4" s="3"/>
      <c r="E4" s="22"/>
      <c r="F4" s="3"/>
      <c r="G4" s="3"/>
      <c r="H4" s="3"/>
      <c r="I4" s="26"/>
      <c r="J4" s="3"/>
      <c r="K4" s="171" t="s">
        <v>61</v>
      </c>
      <c r="L4" s="19"/>
      <c r="M4" s="171" t="s">
        <v>62</v>
      </c>
      <c r="N4" s="29"/>
      <c r="O4" s="28"/>
      <c r="P4" s="39"/>
      <c r="Q4" s="34"/>
      <c r="R4" s="39"/>
      <c r="S4" s="177" t="s">
        <v>89</v>
      </c>
      <c r="T4" s="3"/>
      <c r="U4" s="59"/>
      <c r="V4" s="3"/>
      <c r="W4" s="59"/>
      <c r="X4" s="3"/>
    </row>
    <row r="5" spans="1:24" ht="15" customHeight="1">
      <c r="A5" s="3"/>
      <c r="B5" s="4"/>
      <c r="C5" s="4"/>
      <c r="D5" s="4"/>
      <c r="E5" s="23"/>
      <c r="F5" s="4"/>
      <c r="G5" s="4"/>
      <c r="H5" s="4"/>
      <c r="I5" s="27"/>
      <c r="J5" s="15"/>
      <c r="K5" s="171"/>
      <c r="L5" s="19"/>
      <c r="M5" s="171"/>
      <c r="N5" s="29"/>
      <c r="O5" s="28"/>
      <c r="P5" s="39"/>
      <c r="Q5" s="34"/>
      <c r="R5" s="39"/>
      <c r="S5" s="177"/>
      <c r="T5" s="4"/>
      <c r="U5" s="177" t="s">
        <v>96</v>
      </c>
      <c r="V5" s="5"/>
      <c r="W5" s="177" t="s">
        <v>97</v>
      </c>
      <c r="X5" s="3"/>
    </row>
    <row r="6" spans="1:24" ht="15">
      <c r="A6" s="4"/>
      <c r="B6" s="4"/>
      <c r="C6" s="4"/>
      <c r="D6" s="4"/>
      <c r="E6" s="178" t="s">
        <v>20</v>
      </c>
      <c r="F6" s="17"/>
      <c r="G6" s="185" t="s">
        <v>21</v>
      </c>
      <c r="H6" s="17"/>
      <c r="I6" s="171" t="s">
        <v>22</v>
      </c>
      <c r="J6" s="19"/>
      <c r="K6" s="171"/>
      <c r="L6" s="19"/>
      <c r="M6" s="171"/>
      <c r="N6" s="29"/>
      <c r="O6" s="171" t="s">
        <v>88</v>
      </c>
      <c r="P6" s="39"/>
      <c r="Q6" s="187" t="s">
        <v>75</v>
      </c>
      <c r="R6" s="39"/>
      <c r="S6" s="177"/>
      <c r="T6" s="6"/>
      <c r="U6" s="177"/>
      <c r="V6" s="5"/>
      <c r="W6" s="177"/>
      <c r="X6" s="3"/>
    </row>
    <row r="7" spans="1:24" ht="15">
      <c r="A7" s="4"/>
      <c r="B7" s="4"/>
      <c r="C7" s="4"/>
      <c r="D7" s="4"/>
      <c r="E7" s="178"/>
      <c r="F7" s="17"/>
      <c r="G7" s="185"/>
      <c r="H7" s="17"/>
      <c r="I7" s="171"/>
      <c r="J7" s="19"/>
      <c r="K7" s="171"/>
      <c r="L7" s="19"/>
      <c r="M7" s="171"/>
      <c r="N7" s="29"/>
      <c r="O7" s="171"/>
      <c r="P7" s="39"/>
      <c r="Q7" s="187"/>
      <c r="R7" s="39"/>
      <c r="S7" s="177"/>
      <c r="T7" s="6"/>
      <c r="U7" s="177"/>
      <c r="V7" s="5"/>
      <c r="W7" s="177"/>
      <c r="X7" s="3"/>
    </row>
    <row r="8" spans="1:24" ht="15">
      <c r="A8" s="168" t="s">
        <v>12</v>
      </c>
      <c r="B8" s="4"/>
      <c r="C8" s="168" t="s">
        <v>3</v>
      </c>
      <c r="D8" s="4"/>
      <c r="E8" s="178"/>
      <c r="F8" s="17"/>
      <c r="G8" s="185"/>
      <c r="H8" s="17"/>
      <c r="I8" s="171"/>
      <c r="J8" s="19"/>
      <c r="K8" s="171"/>
      <c r="L8" s="19"/>
      <c r="M8" s="171"/>
      <c r="N8" s="29"/>
      <c r="O8" s="171"/>
      <c r="P8" s="39"/>
      <c r="Q8" s="187"/>
      <c r="R8" s="39"/>
      <c r="S8" s="177"/>
      <c r="T8" s="6"/>
      <c r="U8" s="177"/>
      <c r="V8" s="5"/>
      <c r="W8" s="177"/>
      <c r="X8" s="3"/>
    </row>
    <row r="9" spans="1:24" ht="22.5" customHeight="1" thickBot="1">
      <c r="A9" s="169"/>
      <c r="B9" s="7"/>
      <c r="C9" s="169"/>
      <c r="D9" s="7"/>
      <c r="E9" s="179"/>
      <c r="F9" s="18"/>
      <c r="G9" s="186"/>
      <c r="H9" s="18"/>
      <c r="I9" s="172"/>
      <c r="J9" s="20"/>
      <c r="K9" s="172"/>
      <c r="L9" s="20"/>
      <c r="M9" s="172"/>
      <c r="N9" s="30"/>
      <c r="O9" s="172"/>
      <c r="P9" s="40"/>
      <c r="Q9" s="188"/>
      <c r="R9" s="40"/>
      <c r="S9" s="174"/>
      <c r="T9" s="8"/>
      <c r="U9" s="174"/>
      <c r="V9" s="9"/>
      <c r="W9" s="174"/>
      <c r="X9" s="7"/>
    </row>
    <row r="10" spans="1:24" ht="15">
      <c r="A10" s="3"/>
      <c r="B10" s="3"/>
      <c r="C10" s="3"/>
      <c r="D10" s="3"/>
      <c r="E10" s="22"/>
      <c r="F10" s="3"/>
      <c r="G10" s="3"/>
      <c r="H10" s="3"/>
      <c r="I10" s="26"/>
      <c r="J10" s="3"/>
      <c r="K10" s="26"/>
      <c r="L10" s="3"/>
      <c r="M10" s="26"/>
      <c r="N10" s="31"/>
      <c r="O10" s="26"/>
      <c r="P10" s="59"/>
      <c r="Q10" s="33"/>
      <c r="R10" s="59"/>
      <c r="S10" s="59"/>
      <c r="T10" s="3"/>
      <c r="U10" s="59"/>
      <c r="V10" s="3"/>
      <c r="W10" s="59"/>
      <c r="X10" s="3"/>
    </row>
    <row r="11" spans="1:28" ht="15">
      <c r="A11" s="79">
        <v>1</v>
      </c>
      <c r="B11" s="79"/>
      <c r="C11" s="79">
        <v>2019</v>
      </c>
      <c r="D11" s="79"/>
      <c r="E11" s="93">
        <f>SUM(80*G11)</f>
        <v>7680</v>
      </c>
      <c r="F11" s="79"/>
      <c r="G11" s="79">
        <v>96</v>
      </c>
      <c r="H11" s="79"/>
      <c r="I11" s="80">
        <f>SUM(G11*1300)</f>
        <v>124800</v>
      </c>
      <c r="J11" s="79"/>
      <c r="K11" s="80">
        <f>SUM(E11*25)</f>
        <v>192000</v>
      </c>
      <c r="L11" s="79"/>
      <c r="M11" s="80">
        <f>SUM(G11*4513.89)</f>
        <v>433333.44000000006</v>
      </c>
      <c r="N11" s="94"/>
      <c r="O11" s="80">
        <f>SUM(22.2*M11/2205)</f>
        <v>4362.812865306123</v>
      </c>
      <c r="P11" s="72"/>
      <c r="Q11" s="99">
        <v>24.3</v>
      </c>
      <c r="R11" s="72"/>
      <c r="S11" s="72">
        <f>SUM(22.2*M11/2205*Q11)</f>
        <v>106016.3526269388</v>
      </c>
      <c r="T11" s="79"/>
      <c r="U11" s="99">
        <f>SUM(S11/(1.07)^A11)</f>
        <v>99080.70338966242</v>
      </c>
      <c r="V11" s="79"/>
      <c r="W11" s="99">
        <f>SUM(S11/(1.03)^A11)</f>
        <v>102928.49769605708</v>
      </c>
      <c r="X11" s="79"/>
      <c r="Y11" s="55"/>
      <c r="Z11" s="55"/>
      <c r="AA11" s="55"/>
      <c r="AB11" s="55"/>
    </row>
    <row r="12" spans="1:28" ht="15">
      <c r="A12" s="79">
        <v>2</v>
      </c>
      <c r="B12" s="79"/>
      <c r="C12" s="79">
        <v>2020</v>
      </c>
      <c r="D12" s="79"/>
      <c r="E12" s="93">
        <f aca="true" t="shared" si="0" ref="E12:E30">SUM(80*G12)</f>
        <v>7680</v>
      </c>
      <c r="F12" s="79"/>
      <c r="G12" s="79">
        <v>96</v>
      </c>
      <c r="H12" s="79"/>
      <c r="I12" s="80">
        <f>SUM(G12*1300)</f>
        <v>124800</v>
      </c>
      <c r="J12" s="79"/>
      <c r="K12" s="80">
        <f aca="true" t="shared" si="1" ref="K12:K30">SUM(E12*25)</f>
        <v>192000</v>
      </c>
      <c r="L12" s="79"/>
      <c r="M12" s="80">
        <f aca="true" t="shared" si="2" ref="M12:M30">SUM(G12*4513.89)</f>
        <v>433333.44000000006</v>
      </c>
      <c r="N12" s="94"/>
      <c r="O12" s="80">
        <f aca="true" t="shared" si="3" ref="O12:O30">SUM(22.2*M12/2205)</f>
        <v>4362.812865306123</v>
      </c>
      <c r="P12" s="72"/>
      <c r="Q12" s="99">
        <v>24.8</v>
      </c>
      <c r="R12" s="72"/>
      <c r="S12" s="72">
        <f aca="true" t="shared" si="4" ref="S12:S30">SUM(22.2*M12/2205*Q12)</f>
        <v>108197.75905959186</v>
      </c>
      <c r="T12" s="79"/>
      <c r="U12" s="99">
        <f aca="true" t="shared" si="5" ref="U12:U30">SUM(S12/(1.07)^A12)</f>
        <v>94504.11307502128</v>
      </c>
      <c r="V12" s="79"/>
      <c r="W12" s="99">
        <f aca="true" t="shared" si="6" ref="W12:W30">SUM(S12/(1.03)^A12)</f>
        <v>101986.7650670109</v>
      </c>
      <c r="X12" s="79"/>
      <c r="Y12" s="55"/>
      <c r="Z12" s="55"/>
      <c r="AA12" s="55"/>
      <c r="AB12" s="55"/>
    </row>
    <row r="13" spans="1:28" ht="15">
      <c r="A13" s="79">
        <v>3</v>
      </c>
      <c r="B13" s="79"/>
      <c r="C13" s="79">
        <v>2021</v>
      </c>
      <c r="D13" s="79"/>
      <c r="E13" s="93">
        <f t="shared" si="0"/>
        <v>7680</v>
      </c>
      <c r="F13" s="79"/>
      <c r="G13" s="79">
        <v>96</v>
      </c>
      <c r="H13" s="79"/>
      <c r="I13" s="80">
        <f aca="true" t="shared" si="7" ref="I13:I29">SUM(G13*1300)</f>
        <v>124800</v>
      </c>
      <c r="J13" s="79"/>
      <c r="K13" s="80">
        <f t="shared" si="1"/>
        <v>192000</v>
      </c>
      <c r="L13" s="79"/>
      <c r="M13" s="80">
        <f t="shared" si="2"/>
        <v>433333.44000000006</v>
      </c>
      <c r="N13" s="94"/>
      <c r="O13" s="80">
        <f t="shared" si="3"/>
        <v>4362.812865306123</v>
      </c>
      <c r="P13" s="72"/>
      <c r="Q13" s="99">
        <v>25.3</v>
      </c>
      <c r="R13" s="72"/>
      <c r="S13" s="72">
        <f t="shared" si="4"/>
        <v>110379.16549224492</v>
      </c>
      <c r="T13" s="79"/>
      <c r="U13" s="99">
        <f t="shared" si="5"/>
        <v>90102.27844430352</v>
      </c>
      <c r="V13" s="79"/>
      <c r="W13" s="99">
        <f t="shared" si="6"/>
        <v>101012.57266659003</v>
      </c>
      <c r="X13" s="79"/>
      <c r="Y13" s="55"/>
      <c r="Z13" s="55"/>
      <c r="AA13" s="55"/>
      <c r="AB13" s="55"/>
    </row>
    <row r="14" spans="1:28" ht="15">
      <c r="A14" s="79">
        <v>4</v>
      </c>
      <c r="B14" s="79"/>
      <c r="C14" s="79">
        <v>2022</v>
      </c>
      <c r="D14" s="79"/>
      <c r="E14" s="93">
        <f t="shared" si="0"/>
        <v>7680</v>
      </c>
      <c r="F14" s="79"/>
      <c r="G14" s="79">
        <v>96</v>
      </c>
      <c r="H14" s="79"/>
      <c r="I14" s="80">
        <f t="shared" si="7"/>
        <v>124800</v>
      </c>
      <c r="J14" s="79"/>
      <c r="K14" s="80">
        <f t="shared" si="1"/>
        <v>192000</v>
      </c>
      <c r="L14" s="79"/>
      <c r="M14" s="80">
        <f t="shared" si="2"/>
        <v>433333.44000000006</v>
      </c>
      <c r="N14" s="94"/>
      <c r="O14" s="80">
        <f t="shared" si="3"/>
        <v>4362.812865306123</v>
      </c>
      <c r="P14" s="72"/>
      <c r="Q14" s="99">
        <v>25.8</v>
      </c>
      <c r="R14" s="72"/>
      <c r="S14" s="72">
        <f t="shared" si="4"/>
        <v>112560.57192489797</v>
      </c>
      <c r="T14" s="79"/>
      <c r="U14" s="99">
        <f t="shared" si="5"/>
        <v>85871.92138683575</v>
      </c>
      <c r="V14" s="79"/>
      <c r="W14" s="99">
        <f t="shared" si="6"/>
        <v>100008.61026125419</v>
      </c>
      <c r="X14" s="79"/>
      <c r="Y14" s="55"/>
      <c r="Z14" s="55"/>
      <c r="AA14" s="55"/>
      <c r="AB14" s="55"/>
    </row>
    <row r="15" spans="1:28" ht="15">
      <c r="A15" s="79">
        <v>5</v>
      </c>
      <c r="B15" s="79"/>
      <c r="C15" s="79">
        <v>2023</v>
      </c>
      <c r="D15" s="79"/>
      <c r="E15" s="93">
        <f t="shared" si="0"/>
        <v>15360</v>
      </c>
      <c r="F15" s="79"/>
      <c r="G15" s="79">
        <v>192</v>
      </c>
      <c r="H15" s="79"/>
      <c r="I15" s="80">
        <f t="shared" si="7"/>
        <v>249600</v>
      </c>
      <c r="J15" s="79"/>
      <c r="K15" s="80">
        <f t="shared" si="1"/>
        <v>384000</v>
      </c>
      <c r="L15" s="79"/>
      <c r="M15" s="80">
        <f t="shared" si="2"/>
        <v>866666.8800000001</v>
      </c>
      <c r="N15" s="94"/>
      <c r="O15" s="80">
        <f t="shared" si="3"/>
        <v>8725.625730612246</v>
      </c>
      <c r="P15" s="72"/>
      <c r="Q15" s="99">
        <v>26.3</v>
      </c>
      <c r="R15" s="72"/>
      <c r="S15" s="72">
        <f t="shared" si="4"/>
        <v>229483.95671510207</v>
      </c>
      <c r="T15" s="79"/>
      <c r="U15" s="99">
        <f t="shared" si="5"/>
        <v>163618.88955109616</v>
      </c>
      <c r="V15" s="79"/>
      <c r="W15" s="99">
        <f t="shared" si="6"/>
        <v>197954.87693768233</v>
      </c>
      <c r="X15" s="79"/>
      <c r="Y15" s="55"/>
      <c r="Z15" s="55"/>
      <c r="AA15" s="55"/>
      <c r="AB15" s="55"/>
    </row>
    <row r="16" spans="1:28" ht="15">
      <c r="A16" s="79">
        <v>6</v>
      </c>
      <c r="B16" s="79"/>
      <c r="C16" s="79">
        <v>2024</v>
      </c>
      <c r="D16" s="79"/>
      <c r="E16" s="93">
        <f t="shared" si="0"/>
        <v>15360</v>
      </c>
      <c r="F16" s="79"/>
      <c r="G16" s="79">
        <v>192</v>
      </c>
      <c r="H16" s="79"/>
      <c r="I16" s="80">
        <f t="shared" si="7"/>
        <v>249600</v>
      </c>
      <c r="J16" s="79"/>
      <c r="K16" s="80">
        <f t="shared" si="1"/>
        <v>384000</v>
      </c>
      <c r="L16" s="79"/>
      <c r="M16" s="80">
        <f t="shared" si="2"/>
        <v>866666.8800000001</v>
      </c>
      <c r="N16" s="94"/>
      <c r="O16" s="80">
        <f t="shared" si="3"/>
        <v>8725.625730612246</v>
      </c>
      <c r="P16" s="72"/>
      <c r="Q16" s="99">
        <v>26.8</v>
      </c>
      <c r="R16" s="72"/>
      <c r="S16" s="72">
        <f t="shared" si="4"/>
        <v>233846.7695804082</v>
      </c>
      <c r="T16" s="79"/>
      <c r="U16" s="99">
        <f t="shared" si="5"/>
        <v>155821.9764745168</v>
      </c>
      <c r="V16" s="79"/>
      <c r="W16" s="99">
        <f t="shared" si="6"/>
        <v>195842.98799992198</v>
      </c>
      <c r="X16" s="79"/>
      <c r="Y16" s="55"/>
      <c r="Z16" s="55"/>
      <c r="AA16" s="55"/>
      <c r="AB16" s="55"/>
    </row>
    <row r="17" spans="1:28" ht="15">
      <c r="A17" s="79">
        <v>7</v>
      </c>
      <c r="B17" s="79"/>
      <c r="C17" s="79">
        <v>2025</v>
      </c>
      <c r="D17" s="79"/>
      <c r="E17" s="93">
        <f t="shared" si="0"/>
        <v>15360</v>
      </c>
      <c r="F17" s="79"/>
      <c r="G17" s="79">
        <v>192</v>
      </c>
      <c r="H17" s="79"/>
      <c r="I17" s="80">
        <f t="shared" si="7"/>
        <v>249600</v>
      </c>
      <c r="J17" s="79"/>
      <c r="K17" s="80">
        <f t="shared" si="1"/>
        <v>384000</v>
      </c>
      <c r="L17" s="79"/>
      <c r="M17" s="80">
        <f t="shared" si="2"/>
        <v>866666.8800000001</v>
      </c>
      <c r="N17" s="94"/>
      <c r="O17" s="80">
        <f t="shared" si="3"/>
        <v>8725.625730612246</v>
      </c>
      <c r="P17" s="72"/>
      <c r="Q17" s="99">
        <v>27.3</v>
      </c>
      <c r="R17" s="72"/>
      <c r="S17" s="72">
        <f t="shared" si="4"/>
        <v>238209.58244571433</v>
      </c>
      <c r="T17" s="79"/>
      <c r="U17" s="99">
        <f t="shared" si="5"/>
        <v>148344.95598250482</v>
      </c>
      <c r="V17" s="79"/>
      <c r="W17" s="99">
        <f t="shared" si="6"/>
        <v>193686.1894072551</v>
      </c>
      <c r="X17" s="79"/>
      <c r="Y17" s="55"/>
      <c r="Z17" s="55"/>
      <c r="AA17" s="55"/>
      <c r="AB17" s="55"/>
    </row>
    <row r="18" spans="1:28" ht="15">
      <c r="A18" s="79">
        <v>8</v>
      </c>
      <c r="B18" s="79"/>
      <c r="C18" s="79">
        <v>2026</v>
      </c>
      <c r="D18" s="79"/>
      <c r="E18" s="93">
        <f t="shared" si="0"/>
        <v>16000</v>
      </c>
      <c r="F18" s="79"/>
      <c r="G18" s="79">
        <v>200</v>
      </c>
      <c r="H18" s="79"/>
      <c r="I18" s="80">
        <f t="shared" si="7"/>
        <v>260000</v>
      </c>
      <c r="J18" s="79"/>
      <c r="K18" s="80">
        <f t="shared" si="1"/>
        <v>400000</v>
      </c>
      <c r="L18" s="79"/>
      <c r="M18" s="80">
        <f t="shared" si="2"/>
        <v>902778.0000000001</v>
      </c>
      <c r="N18" s="94"/>
      <c r="O18" s="80">
        <f t="shared" si="3"/>
        <v>9089.193469387756</v>
      </c>
      <c r="P18" s="72"/>
      <c r="Q18" s="99">
        <v>27.8</v>
      </c>
      <c r="R18" s="72"/>
      <c r="S18" s="72">
        <f t="shared" si="4"/>
        <v>252679.57844897962</v>
      </c>
      <c r="T18" s="79"/>
      <c r="U18" s="99">
        <f t="shared" si="5"/>
        <v>147061.81519496202</v>
      </c>
      <c r="V18" s="79"/>
      <c r="W18" s="99">
        <f t="shared" si="6"/>
        <v>199467.59255017707</v>
      </c>
      <c r="X18" s="79"/>
      <c r="Y18" s="55"/>
      <c r="Z18" s="55"/>
      <c r="AA18" s="55"/>
      <c r="AB18" s="55"/>
    </row>
    <row r="19" spans="1:28" ht="15">
      <c r="A19" s="79">
        <v>9</v>
      </c>
      <c r="B19" s="79"/>
      <c r="C19" s="79">
        <v>2027</v>
      </c>
      <c r="D19" s="79"/>
      <c r="E19" s="93">
        <f t="shared" si="0"/>
        <v>16000</v>
      </c>
      <c r="F19" s="79"/>
      <c r="G19" s="79">
        <v>200</v>
      </c>
      <c r="H19" s="79"/>
      <c r="I19" s="80">
        <f t="shared" si="7"/>
        <v>260000</v>
      </c>
      <c r="J19" s="79"/>
      <c r="K19" s="80">
        <f t="shared" si="1"/>
        <v>400000</v>
      </c>
      <c r="L19" s="79"/>
      <c r="M19" s="80">
        <f t="shared" si="2"/>
        <v>902778.0000000001</v>
      </c>
      <c r="N19" s="94"/>
      <c r="O19" s="80">
        <f t="shared" si="3"/>
        <v>9089.193469387756</v>
      </c>
      <c r="P19" s="72"/>
      <c r="Q19" s="99">
        <v>28.3</v>
      </c>
      <c r="R19" s="72"/>
      <c r="S19" s="72">
        <f t="shared" si="4"/>
        <v>257224.17518367348</v>
      </c>
      <c r="T19" s="79"/>
      <c r="U19" s="99">
        <f t="shared" si="5"/>
        <v>139912.90829077605</v>
      </c>
      <c r="V19" s="79"/>
      <c r="W19" s="99">
        <f t="shared" si="6"/>
        <v>197140.91182405569</v>
      </c>
      <c r="X19" s="79"/>
      <c r="Y19" s="55"/>
      <c r="Z19" s="55"/>
      <c r="AA19" s="55"/>
      <c r="AB19" s="55"/>
    </row>
    <row r="20" spans="1:28" ht="15">
      <c r="A20" s="79">
        <v>10</v>
      </c>
      <c r="B20" s="79"/>
      <c r="C20" s="79">
        <v>2028</v>
      </c>
      <c r="D20" s="79"/>
      <c r="E20" s="93">
        <f t="shared" si="0"/>
        <v>16640</v>
      </c>
      <c r="F20" s="79"/>
      <c r="G20" s="79">
        <v>208</v>
      </c>
      <c r="H20" s="79"/>
      <c r="I20" s="80">
        <f t="shared" si="7"/>
        <v>270400</v>
      </c>
      <c r="J20" s="79"/>
      <c r="K20" s="80">
        <f t="shared" si="1"/>
        <v>416000</v>
      </c>
      <c r="L20" s="79"/>
      <c r="M20" s="80">
        <f t="shared" si="2"/>
        <v>938889.1200000001</v>
      </c>
      <c r="N20" s="94"/>
      <c r="O20" s="80">
        <f t="shared" si="3"/>
        <v>9452.761208163265</v>
      </c>
      <c r="P20" s="72"/>
      <c r="Q20" s="99">
        <v>28.8</v>
      </c>
      <c r="R20" s="72"/>
      <c r="S20" s="72">
        <f t="shared" si="4"/>
        <v>272239.52279510204</v>
      </c>
      <c r="T20" s="79"/>
      <c r="U20" s="99">
        <f t="shared" si="5"/>
        <v>138392.7687039835</v>
      </c>
      <c r="V20" s="79"/>
      <c r="W20" s="99">
        <f t="shared" si="6"/>
        <v>202571.77230622372</v>
      </c>
      <c r="X20" s="79"/>
      <c r="Y20" s="55"/>
      <c r="Z20" s="55"/>
      <c r="AA20" s="55"/>
      <c r="AB20" s="55"/>
    </row>
    <row r="21" spans="1:28" ht="15">
      <c r="A21" s="79">
        <v>11</v>
      </c>
      <c r="B21" s="79"/>
      <c r="C21" s="79">
        <v>2029</v>
      </c>
      <c r="D21" s="79"/>
      <c r="E21" s="93">
        <f t="shared" si="0"/>
        <v>17280</v>
      </c>
      <c r="F21" s="79"/>
      <c r="G21" s="79">
        <v>216</v>
      </c>
      <c r="H21" s="79"/>
      <c r="I21" s="80">
        <f t="shared" si="7"/>
        <v>280800</v>
      </c>
      <c r="J21" s="79"/>
      <c r="K21" s="80">
        <f t="shared" si="1"/>
        <v>432000</v>
      </c>
      <c r="L21" s="79"/>
      <c r="M21" s="80">
        <f t="shared" si="2"/>
        <v>975000.2400000001</v>
      </c>
      <c r="N21" s="94"/>
      <c r="O21" s="80">
        <f t="shared" si="3"/>
        <v>9816.328946938776</v>
      </c>
      <c r="P21" s="72"/>
      <c r="Q21" s="99">
        <v>29.3</v>
      </c>
      <c r="R21" s="72"/>
      <c r="S21" s="72">
        <f t="shared" si="4"/>
        <v>287618.43814530614</v>
      </c>
      <c r="T21" s="79"/>
      <c r="U21" s="99">
        <f t="shared" si="5"/>
        <v>136645.4480710836</v>
      </c>
      <c r="V21" s="79"/>
      <c r="W21" s="99">
        <f t="shared" si="6"/>
        <v>207781.6792582742</v>
      </c>
      <c r="X21" s="79"/>
      <c r="Y21" s="55"/>
      <c r="Z21" s="55"/>
      <c r="AA21" s="55"/>
      <c r="AB21" s="55"/>
    </row>
    <row r="22" spans="1:28" ht="15">
      <c r="A22" s="79">
        <v>12</v>
      </c>
      <c r="B22" s="79"/>
      <c r="C22" s="79">
        <v>2030</v>
      </c>
      <c r="D22" s="79"/>
      <c r="E22" s="93">
        <f t="shared" si="0"/>
        <v>17280</v>
      </c>
      <c r="F22" s="79"/>
      <c r="G22" s="79">
        <v>216</v>
      </c>
      <c r="H22" s="79"/>
      <c r="I22" s="80">
        <f t="shared" si="7"/>
        <v>280800</v>
      </c>
      <c r="J22" s="79"/>
      <c r="K22" s="80">
        <f t="shared" si="1"/>
        <v>432000</v>
      </c>
      <c r="L22" s="79"/>
      <c r="M22" s="80">
        <f t="shared" si="2"/>
        <v>975000.2400000001</v>
      </c>
      <c r="N22" s="94"/>
      <c r="O22" s="80">
        <f t="shared" si="3"/>
        <v>9816.328946938776</v>
      </c>
      <c r="P22" s="72"/>
      <c r="Q22" s="99">
        <v>29.8</v>
      </c>
      <c r="R22" s="72"/>
      <c r="S22" s="72">
        <f t="shared" si="4"/>
        <v>292526.60261877556</v>
      </c>
      <c r="T22" s="79"/>
      <c r="U22" s="99">
        <f t="shared" si="5"/>
        <v>129885.30995879855</v>
      </c>
      <c r="V22" s="79"/>
      <c r="W22" s="99">
        <f t="shared" si="6"/>
        <v>205172.27349801428</v>
      </c>
      <c r="X22" s="79"/>
      <c r="Y22" s="55"/>
      <c r="Z22" s="55"/>
      <c r="AA22" s="55"/>
      <c r="AB22" s="55"/>
    </row>
    <row r="23" spans="1:28" ht="15">
      <c r="A23" s="79">
        <v>13</v>
      </c>
      <c r="B23" s="79"/>
      <c r="C23" s="79">
        <v>2031</v>
      </c>
      <c r="D23" s="79"/>
      <c r="E23" s="93">
        <f t="shared" si="0"/>
        <v>17280</v>
      </c>
      <c r="F23" s="79"/>
      <c r="G23" s="79">
        <v>216</v>
      </c>
      <c r="H23" s="79"/>
      <c r="I23" s="80">
        <f t="shared" si="7"/>
        <v>280800</v>
      </c>
      <c r="J23" s="79"/>
      <c r="K23" s="80">
        <f t="shared" si="1"/>
        <v>432000</v>
      </c>
      <c r="L23" s="79"/>
      <c r="M23" s="80">
        <f t="shared" si="2"/>
        <v>975000.2400000001</v>
      </c>
      <c r="N23" s="94"/>
      <c r="O23" s="80">
        <f t="shared" si="3"/>
        <v>9816.328946938776</v>
      </c>
      <c r="P23" s="72"/>
      <c r="Q23" s="99">
        <v>30.3</v>
      </c>
      <c r="R23" s="72"/>
      <c r="S23" s="72">
        <f t="shared" si="4"/>
        <v>297434.76709224493</v>
      </c>
      <c r="T23" s="79"/>
      <c r="U23" s="99">
        <f t="shared" si="5"/>
        <v>123424.85390928919</v>
      </c>
      <c r="V23" s="79"/>
      <c r="W23" s="99">
        <f t="shared" si="6"/>
        <v>202538.60321202295</v>
      </c>
      <c r="X23" s="79"/>
      <c r="Y23" s="55"/>
      <c r="Z23" s="55"/>
      <c r="AA23" s="55"/>
      <c r="AB23" s="55"/>
    </row>
    <row r="24" spans="1:28" ht="15">
      <c r="A24" s="79">
        <v>14</v>
      </c>
      <c r="B24" s="79"/>
      <c r="C24" s="79">
        <v>2032</v>
      </c>
      <c r="D24" s="79"/>
      <c r="E24" s="93">
        <f t="shared" si="0"/>
        <v>17280</v>
      </c>
      <c r="F24" s="79"/>
      <c r="G24" s="79">
        <v>216</v>
      </c>
      <c r="H24" s="79"/>
      <c r="I24" s="80">
        <f t="shared" si="7"/>
        <v>280800</v>
      </c>
      <c r="J24" s="79"/>
      <c r="K24" s="80">
        <f t="shared" si="1"/>
        <v>432000</v>
      </c>
      <c r="L24" s="79"/>
      <c r="M24" s="80">
        <f t="shared" si="2"/>
        <v>975000.2400000001</v>
      </c>
      <c r="N24" s="94"/>
      <c r="O24" s="80">
        <f t="shared" si="3"/>
        <v>9816.328946938776</v>
      </c>
      <c r="P24" s="72"/>
      <c r="Q24" s="99">
        <v>30.8</v>
      </c>
      <c r="R24" s="72"/>
      <c r="S24" s="72">
        <f t="shared" si="4"/>
        <v>302342.9315657143</v>
      </c>
      <c r="T24" s="79"/>
      <c r="U24" s="99">
        <f t="shared" si="5"/>
        <v>117253.8015609052</v>
      </c>
      <c r="V24" s="79"/>
      <c r="W24" s="99">
        <f t="shared" si="6"/>
        <v>199884.295521494</v>
      </c>
      <c r="X24" s="79"/>
      <c r="Y24" s="55"/>
      <c r="Z24" s="55"/>
      <c r="AA24" s="55"/>
      <c r="AB24" s="55"/>
    </row>
    <row r="25" spans="1:28" ht="15">
      <c r="A25" s="79">
        <v>15</v>
      </c>
      <c r="B25" s="79"/>
      <c r="C25" s="79">
        <v>2033</v>
      </c>
      <c r="D25" s="79"/>
      <c r="E25" s="93">
        <f t="shared" si="0"/>
        <v>17920</v>
      </c>
      <c r="F25" s="79"/>
      <c r="G25" s="79">
        <v>224</v>
      </c>
      <c r="H25" s="79"/>
      <c r="I25" s="80">
        <f t="shared" si="7"/>
        <v>291200</v>
      </c>
      <c r="J25" s="79"/>
      <c r="K25" s="80">
        <f t="shared" si="1"/>
        <v>448000</v>
      </c>
      <c r="L25" s="79"/>
      <c r="M25" s="80">
        <f t="shared" si="2"/>
        <v>1011111.3600000001</v>
      </c>
      <c r="N25" s="94"/>
      <c r="O25" s="80">
        <f t="shared" si="3"/>
        <v>10179.896685714286</v>
      </c>
      <c r="P25" s="72"/>
      <c r="Q25" s="99">
        <v>31.3</v>
      </c>
      <c r="R25" s="72"/>
      <c r="S25" s="72">
        <f t="shared" si="4"/>
        <v>318630.7662628572</v>
      </c>
      <c r="T25" s="79"/>
      <c r="U25" s="99">
        <f t="shared" si="5"/>
        <v>115486.45296756765</v>
      </c>
      <c r="V25" s="79"/>
      <c r="W25" s="99">
        <f t="shared" si="6"/>
        <v>204516.9641339859</v>
      </c>
      <c r="X25" s="79"/>
      <c r="Y25" s="55"/>
      <c r="Z25" s="55"/>
      <c r="AA25" s="55"/>
      <c r="AB25" s="55"/>
    </row>
    <row r="26" spans="1:28" ht="15">
      <c r="A26" s="79">
        <v>16</v>
      </c>
      <c r="B26" s="79"/>
      <c r="C26" s="79">
        <v>2034</v>
      </c>
      <c r="D26" s="79"/>
      <c r="E26" s="93">
        <f t="shared" si="0"/>
        <v>17920</v>
      </c>
      <c r="F26" s="79"/>
      <c r="G26" s="79">
        <v>224</v>
      </c>
      <c r="H26" s="79"/>
      <c r="I26" s="80">
        <f t="shared" si="7"/>
        <v>291200</v>
      </c>
      <c r="J26" s="79"/>
      <c r="K26" s="80">
        <f t="shared" si="1"/>
        <v>448000</v>
      </c>
      <c r="L26" s="79"/>
      <c r="M26" s="80">
        <f t="shared" si="2"/>
        <v>1011111.3600000001</v>
      </c>
      <c r="N26" s="94"/>
      <c r="O26" s="80">
        <f t="shared" si="3"/>
        <v>10179.896685714286</v>
      </c>
      <c r="P26" s="72"/>
      <c r="Q26" s="99">
        <v>31.8</v>
      </c>
      <c r="R26" s="72"/>
      <c r="S26" s="72">
        <f t="shared" si="4"/>
        <v>323720.7146057143</v>
      </c>
      <c r="T26" s="79"/>
      <c r="U26" s="99">
        <f t="shared" si="5"/>
        <v>109655.40606039389</v>
      </c>
      <c r="V26" s="79"/>
      <c r="W26" s="99">
        <f t="shared" si="6"/>
        <v>201732.04688299116</v>
      </c>
      <c r="X26" s="79"/>
      <c r="Y26" s="55"/>
      <c r="Z26" s="55"/>
      <c r="AA26" s="55"/>
      <c r="AB26" s="55"/>
    </row>
    <row r="27" spans="1:28" ht="15">
      <c r="A27" s="79">
        <v>17</v>
      </c>
      <c r="B27" s="79"/>
      <c r="C27" s="79">
        <v>2035</v>
      </c>
      <c r="D27" s="79"/>
      <c r="E27" s="93">
        <f t="shared" si="0"/>
        <v>17920</v>
      </c>
      <c r="F27" s="79"/>
      <c r="G27" s="79">
        <v>224</v>
      </c>
      <c r="H27" s="79"/>
      <c r="I27" s="80">
        <f t="shared" si="7"/>
        <v>291200</v>
      </c>
      <c r="J27" s="79"/>
      <c r="K27" s="80">
        <f t="shared" si="1"/>
        <v>448000</v>
      </c>
      <c r="L27" s="79"/>
      <c r="M27" s="80">
        <f t="shared" si="2"/>
        <v>1011111.3600000001</v>
      </c>
      <c r="N27" s="94"/>
      <c r="O27" s="80">
        <f t="shared" si="3"/>
        <v>10179.896685714286</v>
      </c>
      <c r="P27" s="72"/>
      <c r="Q27" s="99">
        <v>32.3</v>
      </c>
      <c r="R27" s="72"/>
      <c r="S27" s="72">
        <f t="shared" si="4"/>
        <v>328810.6629485714</v>
      </c>
      <c r="T27" s="79"/>
      <c r="U27" s="99">
        <f t="shared" si="5"/>
        <v>104093.03520104395</v>
      </c>
      <c r="V27" s="79"/>
      <c r="W27" s="99">
        <f t="shared" si="6"/>
        <v>198935.85865300766</v>
      </c>
      <c r="X27" s="79"/>
      <c r="Y27" s="55"/>
      <c r="Z27" s="55"/>
      <c r="AA27" s="55"/>
      <c r="AB27" s="55"/>
    </row>
    <row r="28" spans="1:28" ht="15">
      <c r="A28" s="79">
        <v>18</v>
      </c>
      <c r="B28" s="79"/>
      <c r="C28" s="79">
        <v>2036</v>
      </c>
      <c r="D28" s="79"/>
      <c r="E28" s="93">
        <f t="shared" si="0"/>
        <v>18480</v>
      </c>
      <c r="F28" s="79"/>
      <c r="G28" s="79">
        <v>231</v>
      </c>
      <c r="H28" s="79"/>
      <c r="I28" s="80">
        <f t="shared" si="7"/>
        <v>300300</v>
      </c>
      <c r="J28" s="79"/>
      <c r="K28" s="80">
        <f t="shared" si="1"/>
        <v>462000</v>
      </c>
      <c r="L28" s="79"/>
      <c r="M28" s="80">
        <f t="shared" si="2"/>
        <v>1042708.5900000001</v>
      </c>
      <c r="N28" s="94"/>
      <c r="O28" s="80">
        <f t="shared" si="3"/>
        <v>10498.018457142858</v>
      </c>
      <c r="P28" s="72"/>
      <c r="Q28" s="99">
        <v>32.8</v>
      </c>
      <c r="R28" s="72"/>
      <c r="S28" s="72">
        <f t="shared" si="4"/>
        <v>344335.0053942857</v>
      </c>
      <c r="T28" s="79"/>
      <c r="U28" s="99">
        <f t="shared" si="5"/>
        <v>101876.30322257204</v>
      </c>
      <c r="V28" s="79"/>
      <c r="W28" s="99">
        <f t="shared" si="6"/>
        <v>202260.52538212706</v>
      </c>
      <c r="X28" s="79"/>
      <c r="Y28" s="55"/>
      <c r="Z28" s="55"/>
      <c r="AA28" s="55"/>
      <c r="AB28" s="55"/>
    </row>
    <row r="29" spans="1:28" ht="15">
      <c r="A29" s="79">
        <v>19</v>
      </c>
      <c r="B29" s="79"/>
      <c r="C29" s="79">
        <v>2037</v>
      </c>
      <c r="D29" s="79"/>
      <c r="E29" s="93">
        <f t="shared" si="0"/>
        <v>18480</v>
      </c>
      <c r="F29" s="79"/>
      <c r="G29" s="79">
        <v>231</v>
      </c>
      <c r="H29" s="79"/>
      <c r="I29" s="80">
        <f t="shared" si="7"/>
        <v>300300</v>
      </c>
      <c r="J29" s="79"/>
      <c r="K29" s="80">
        <f t="shared" si="1"/>
        <v>462000</v>
      </c>
      <c r="L29" s="79"/>
      <c r="M29" s="80">
        <f t="shared" si="2"/>
        <v>1042708.5900000001</v>
      </c>
      <c r="N29" s="94"/>
      <c r="O29" s="80">
        <f t="shared" si="3"/>
        <v>10498.018457142858</v>
      </c>
      <c r="P29" s="72"/>
      <c r="Q29" s="99">
        <v>33.3</v>
      </c>
      <c r="R29" s="72"/>
      <c r="S29" s="72">
        <f t="shared" si="4"/>
        <v>349584.01462285715</v>
      </c>
      <c r="T29" s="79"/>
      <c r="U29" s="99">
        <f t="shared" si="5"/>
        <v>96662.89313060317</v>
      </c>
      <c r="V29" s="79"/>
      <c r="W29" s="99">
        <f t="shared" si="6"/>
        <v>199362.8787362311</v>
      </c>
      <c r="X29" s="79"/>
      <c r="Y29" s="55"/>
      <c r="Z29" s="55"/>
      <c r="AA29" s="55"/>
      <c r="AB29" s="55"/>
    </row>
    <row r="30" spans="1:28" ht="15">
      <c r="A30" s="79">
        <v>20</v>
      </c>
      <c r="B30" s="79"/>
      <c r="C30" s="79">
        <v>2038</v>
      </c>
      <c r="D30" s="79"/>
      <c r="E30" s="95">
        <f t="shared" si="0"/>
        <v>18480</v>
      </c>
      <c r="F30" s="44"/>
      <c r="G30" s="155">
        <v>231</v>
      </c>
      <c r="H30" s="44"/>
      <c r="I30" s="90">
        <f>SUM(G30*1300)</f>
        <v>300300</v>
      </c>
      <c r="J30" s="44"/>
      <c r="K30" s="90">
        <f t="shared" si="1"/>
        <v>462000</v>
      </c>
      <c r="L30" s="44"/>
      <c r="M30" s="90">
        <f t="shared" si="2"/>
        <v>1042708.5900000001</v>
      </c>
      <c r="N30" s="96"/>
      <c r="O30" s="90">
        <f t="shared" si="3"/>
        <v>10498.018457142858</v>
      </c>
      <c r="P30" s="73"/>
      <c r="Q30" s="100">
        <v>33.8</v>
      </c>
      <c r="R30" s="73"/>
      <c r="S30" s="73">
        <f t="shared" si="4"/>
        <v>354833.0238514286</v>
      </c>
      <c r="T30" s="44"/>
      <c r="U30" s="100">
        <f t="shared" si="5"/>
        <v>91695.59618911587</v>
      </c>
      <c r="V30" s="44"/>
      <c r="W30" s="100">
        <f t="shared" si="6"/>
        <v>196462.4420911575</v>
      </c>
      <c r="X30" s="44"/>
      <c r="Y30" s="55"/>
      <c r="Z30" s="55"/>
      <c r="AA30" s="55"/>
      <c r="AB30" s="55"/>
    </row>
    <row r="31" spans="1:24" ht="15">
      <c r="A31" s="3"/>
      <c r="B31" s="3"/>
      <c r="C31" s="3"/>
      <c r="D31" s="3"/>
      <c r="E31" s="22"/>
      <c r="F31" s="3"/>
      <c r="G31" s="3"/>
      <c r="H31" s="3"/>
      <c r="I31" s="26"/>
      <c r="J31" s="3"/>
      <c r="K31" s="26"/>
      <c r="L31" s="3"/>
      <c r="M31" s="26"/>
      <c r="N31" s="31"/>
      <c r="O31" s="26"/>
      <c r="P31" s="59"/>
      <c r="Q31" s="33"/>
      <c r="R31" s="59"/>
      <c r="S31" s="59"/>
      <c r="T31" s="3"/>
      <c r="U31" s="59"/>
      <c r="V31" s="3"/>
      <c r="W31" s="59"/>
      <c r="X31" s="3"/>
    </row>
    <row r="32" spans="1:24" ht="15.75" thickBot="1">
      <c r="A32" s="3"/>
      <c r="B32" s="3"/>
      <c r="C32" s="3"/>
      <c r="D32" s="3"/>
      <c r="E32" s="22"/>
      <c r="F32" s="3"/>
      <c r="G32" s="3"/>
      <c r="H32" s="3"/>
      <c r="I32" s="26"/>
      <c r="J32" s="3"/>
      <c r="K32" s="26"/>
      <c r="L32" s="3"/>
      <c r="M32" s="27"/>
      <c r="N32" s="15"/>
      <c r="O32" s="27"/>
      <c r="P32" s="38"/>
      <c r="Q32" s="60"/>
      <c r="R32" s="75"/>
      <c r="S32" s="88">
        <f>SUM(S11:S31)</f>
        <v>5120674.361380407</v>
      </c>
      <c r="T32" s="97"/>
      <c r="U32" s="88">
        <f>SUM(U11:U30)</f>
        <v>2389391.430765035</v>
      </c>
      <c r="V32" s="97"/>
      <c r="W32" s="88">
        <f>SUM(W11:W30)</f>
        <v>3611248.344085534</v>
      </c>
      <c r="X32" s="3"/>
    </row>
    <row r="33" spans="1:24" ht="15.75" thickTop="1">
      <c r="A33" s="3"/>
      <c r="B33" s="3"/>
      <c r="C33" s="92" t="s">
        <v>25</v>
      </c>
      <c r="D33" s="47"/>
      <c r="E33" s="91"/>
      <c r="F33" s="3"/>
      <c r="G33" s="3"/>
      <c r="H33" s="3"/>
      <c r="I33" s="26"/>
      <c r="J33" s="3"/>
      <c r="K33" s="26"/>
      <c r="L33" s="3"/>
      <c r="M33" s="26"/>
      <c r="N33" s="31"/>
      <c r="O33" s="26"/>
      <c r="P33" s="59"/>
      <c r="Q33" s="33"/>
      <c r="R33" s="59"/>
      <c r="S33" s="59"/>
      <c r="T33" s="3"/>
      <c r="U33" s="59"/>
      <c r="V33" s="3"/>
      <c r="W33" s="59"/>
      <c r="X33" s="3"/>
    </row>
    <row r="34" spans="1:24" ht="15">
      <c r="A34" s="3"/>
      <c r="B34" s="3"/>
      <c r="C34" s="77" t="s">
        <v>66</v>
      </c>
      <c r="D34" s="4"/>
      <c r="E34" s="23"/>
      <c r="F34" s="3"/>
      <c r="G34" s="3"/>
      <c r="H34" s="3"/>
      <c r="I34" s="26"/>
      <c r="J34" s="3"/>
      <c r="K34" s="26"/>
      <c r="L34" s="3"/>
      <c r="M34" s="26"/>
      <c r="N34" s="31"/>
      <c r="O34" s="26"/>
      <c r="P34" s="59"/>
      <c r="Q34" s="33"/>
      <c r="R34" s="59"/>
      <c r="S34" s="59"/>
      <c r="T34" s="3"/>
      <c r="U34" s="59"/>
      <c r="V34" s="3"/>
      <c r="W34" s="59"/>
      <c r="X34" s="3"/>
    </row>
    <row r="35" spans="1:24" ht="15">
      <c r="A35" s="3"/>
      <c r="B35" s="3"/>
      <c r="C35" s="77" t="s">
        <v>140</v>
      </c>
      <c r="D35" s="4"/>
      <c r="E35" s="23"/>
      <c r="F35" s="3"/>
      <c r="G35" s="3"/>
      <c r="H35" s="3"/>
      <c r="I35" s="26"/>
      <c r="J35" s="3"/>
      <c r="K35" s="26"/>
      <c r="L35" s="3"/>
      <c r="M35" s="26"/>
      <c r="N35" s="31"/>
      <c r="O35" s="26"/>
      <c r="P35" s="59"/>
      <c r="Q35" s="33"/>
      <c r="R35" s="59"/>
      <c r="S35" s="59"/>
      <c r="T35" s="3"/>
      <c r="U35" s="59"/>
      <c r="V35" s="3"/>
      <c r="W35" s="59"/>
      <c r="X35" s="3"/>
    </row>
    <row r="36" spans="1:24" ht="15">
      <c r="A36" s="3"/>
      <c r="B36" s="3"/>
      <c r="C36" s="77" t="s">
        <v>64</v>
      </c>
      <c r="D36" s="4"/>
      <c r="E36" s="23"/>
      <c r="F36" s="3"/>
      <c r="G36" s="3"/>
      <c r="H36" s="3"/>
      <c r="I36" s="26"/>
      <c r="J36" s="3"/>
      <c r="K36" s="26"/>
      <c r="L36" s="3"/>
      <c r="M36" s="26"/>
      <c r="N36" s="31"/>
      <c r="O36" s="26"/>
      <c r="P36" s="59"/>
      <c r="Q36" s="33"/>
      <c r="R36" s="59"/>
      <c r="S36" s="59"/>
      <c r="T36" s="3"/>
      <c r="U36" s="59"/>
      <c r="V36" s="3"/>
      <c r="W36" s="59"/>
      <c r="X36" s="3"/>
    </row>
    <row r="37" spans="1:24" ht="15">
      <c r="A37" s="3"/>
      <c r="B37" s="3"/>
      <c r="C37" s="77" t="s">
        <v>65</v>
      </c>
      <c r="D37" s="4"/>
      <c r="E37" s="23"/>
      <c r="F37" s="3"/>
      <c r="G37" s="3"/>
      <c r="H37" s="3"/>
      <c r="I37" s="26"/>
      <c r="J37" s="3"/>
      <c r="K37" s="26"/>
      <c r="L37" s="3"/>
      <c r="M37" s="26"/>
      <c r="N37" s="31"/>
      <c r="O37" s="26"/>
      <c r="P37" s="59"/>
      <c r="Q37" s="33"/>
      <c r="R37" s="59"/>
      <c r="S37" s="59"/>
      <c r="T37" s="3"/>
      <c r="U37" s="59"/>
      <c r="V37" s="3"/>
      <c r="W37" s="59"/>
      <c r="X37" s="3"/>
    </row>
    <row r="38" spans="1:24" ht="15">
      <c r="A38" s="3"/>
      <c r="B38" s="3"/>
      <c r="C38" s="77" t="s">
        <v>71</v>
      </c>
      <c r="D38" s="4"/>
      <c r="E38" s="23"/>
      <c r="F38" s="3"/>
      <c r="G38" s="3"/>
      <c r="H38" s="3"/>
      <c r="I38" s="26"/>
      <c r="J38" s="3"/>
      <c r="K38" s="26"/>
      <c r="L38" s="3"/>
      <c r="M38" s="26"/>
      <c r="N38" s="31"/>
      <c r="O38" s="26"/>
      <c r="P38" s="59"/>
      <c r="Q38" s="33"/>
      <c r="R38" s="59"/>
      <c r="S38" s="59"/>
      <c r="T38" s="3"/>
      <c r="U38" s="59"/>
      <c r="V38" s="3"/>
      <c r="W38" s="59"/>
      <c r="X38" s="3"/>
    </row>
    <row r="39" spans="1:24" ht="15">
      <c r="A39" s="3"/>
      <c r="B39" s="3"/>
      <c r="C39" s="77"/>
      <c r="D39" s="123" t="s">
        <v>142</v>
      </c>
      <c r="E39" s="118"/>
      <c r="F39" s="119"/>
      <c r="G39" s="119"/>
      <c r="H39" s="119"/>
      <c r="I39" s="120"/>
      <c r="J39" s="119"/>
      <c r="K39" s="120"/>
      <c r="L39" s="119"/>
      <c r="M39" s="120"/>
      <c r="N39" s="121"/>
      <c r="O39" s="120"/>
      <c r="P39" s="98"/>
      <c r="Q39" s="122"/>
      <c r="R39" s="98"/>
      <c r="S39" s="98"/>
      <c r="T39" s="119"/>
      <c r="U39" s="98"/>
      <c r="V39" s="119"/>
      <c r="W39" s="98"/>
      <c r="X39" s="3"/>
    </row>
    <row r="40" spans="1:24" ht="15">
      <c r="A40" s="3"/>
      <c r="B40" s="3"/>
      <c r="C40" s="77" t="s">
        <v>90</v>
      </c>
      <c r="D40" s="123"/>
      <c r="E40" s="118"/>
      <c r="F40" s="119"/>
      <c r="G40" s="119"/>
      <c r="H40" s="119"/>
      <c r="I40" s="120"/>
      <c r="J40" s="119"/>
      <c r="K40" s="120"/>
      <c r="L40" s="119"/>
      <c r="M40" s="120"/>
      <c r="N40" s="121"/>
      <c r="O40" s="120"/>
      <c r="P40" s="98"/>
      <c r="Q40" s="122"/>
      <c r="R40" s="98"/>
      <c r="S40" s="98"/>
      <c r="T40" s="119"/>
      <c r="U40" s="98"/>
      <c r="V40" s="119"/>
      <c r="W40" s="98"/>
      <c r="X40" s="3"/>
    </row>
    <row r="41" spans="1:24" ht="15">
      <c r="A41" s="3"/>
      <c r="B41" s="3"/>
      <c r="C41" s="77"/>
      <c r="D41" s="123" t="s">
        <v>91</v>
      </c>
      <c r="E41" s="118"/>
      <c r="F41" s="119"/>
      <c r="G41" s="119"/>
      <c r="H41" s="119"/>
      <c r="I41" s="120"/>
      <c r="J41" s="119"/>
      <c r="K41" s="120"/>
      <c r="L41" s="119"/>
      <c r="M41" s="120"/>
      <c r="N41" s="121"/>
      <c r="O41" s="120"/>
      <c r="P41" s="98"/>
      <c r="Q41" s="122"/>
      <c r="R41" s="98"/>
      <c r="S41" s="98"/>
      <c r="T41" s="119"/>
      <c r="U41" s="98"/>
      <c r="V41" s="119"/>
      <c r="W41" s="98"/>
      <c r="X41" s="3"/>
    </row>
    <row r="42" spans="1:24" ht="15">
      <c r="A42" s="3"/>
      <c r="B42" s="3"/>
      <c r="C42" s="77"/>
      <c r="D42" s="123" t="s">
        <v>92</v>
      </c>
      <c r="E42" s="118"/>
      <c r="F42" s="119"/>
      <c r="G42" s="119"/>
      <c r="H42" s="119"/>
      <c r="I42" s="120"/>
      <c r="J42" s="119"/>
      <c r="K42" s="120"/>
      <c r="L42" s="119"/>
      <c r="M42" s="120"/>
      <c r="N42" s="121"/>
      <c r="O42" s="120"/>
      <c r="P42" s="98"/>
      <c r="Q42" s="122"/>
      <c r="R42" s="98"/>
      <c r="S42" s="98"/>
      <c r="T42" s="119"/>
      <c r="U42" s="98"/>
      <c r="V42" s="119"/>
      <c r="W42" s="98"/>
      <c r="X42" s="3"/>
    </row>
    <row r="43" spans="1:24" ht="15">
      <c r="A43" s="3"/>
      <c r="B43" s="3"/>
      <c r="C43" s="77"/>
      <c r="D43" s="123" t="s">
        <v>93</v>
      </c>
      <c r="E43" s="118"/>
      <c r="F43" s="119"/>
      <c r="G43" s="119"/>
      <c r="H43" s="119"/>
      <c r="I43" s="120"/>
      <c r="J43" s="119"/>
      <c r="K43" s="120"/>
      <c r="L43" s="119"/>
      <c r="M43" s="120"/>
      <c r="N43" s="121"/>
      <c r="O43" s="120"/>
      <c r="P43" s="98"/>
      <c r="Q43" s="122"/>
      <c r="R43" s="98"/>
      <c r="S43" s="98"/>
      <c r="T43" s="119"/>
      <c r="U43" s="98"/>
      <c r="V43" s="119"/>
      <c r="W43" s="98"/>
      <c r="X43" s="3"/>
    </row>
    <row r="44" spans="1:24" ht="15">
      <c r="A44" s="3"/>
      <c r="B44" s="3"/>
      <c r="C44" s="77" t="s">
        <v>8</v>
      </c>
      <c r="D44" s="4"/>
      <c r="E44" s="23"/>
      <c r="F44" s="3"/>
      <c r="G44" s="3"/>
      <c r="H44" s="3"/>
      <c r="I44" s="26"/>
      <c r="J44" s="3"/>
      <c r="K44" s="26"/>
      <c r="L44" s="3"/>
      <c r="M44" s="26"/>
      <c r="N44" s="31"/>
      <c r="O44" s="26"/>
      <c r="P44" s="59"/>
      <c r="Q44" s="33"/>
      <c r="R44" s="59"/>
      <c r="S44" s="59"/>
      <c r="T44" s="3"/>
      <c r="U44" s="59"/>
      <c r="V44" s="3"/>
      <c r="W44" s="59"/>
      <c r="X44" s="3"/>
    </row>
    <row r="45" spans="1:24" ht="15">
      <c r="A45" s="3"/>
      <c r="B45" s="3"/>
      <c r="C45" s="77" t="s">
        <v>9</v>
      </c>
      <c r="D45" s="3"/>
      <c r="E45" s="22"/>
      <c r="F45" s="3"/>
      <c r="G45" s="3"/>
      <c r="H45" s="3"/>
      <c r="I45" s="26"/>
      <c r="J45" s="3"/>
      <c r="K45" s="26"/>
      <c r="L45" s="3"/>
      <c r="M45" s="26"/>
      <c r="N45" s="31"/>
      <c r="O45" s="26"/>
      <c r="P45" s="59"/>
      <c r="Q45" s="33"/>
      <c r="R45" s="59"/>
      <c r="S45" s="59"/>
      <c r="T45" s="3"/>
      <c r="U45" s="59"/>
      <c r="V45" s="3"/>
      <c r="W45" s="59"/>
      <c r="X45" s="3"/>
    </row>
    <row r="46" spans="3:23" ht="15">
      <c r="C46" s="77" t="s">
        <v>94</v>
      </c>
      <c r="K46" s="25"/>
      <c r="M46" s="25"/>
      <c r="P46" s="37"/>
      <c r="R46" s="37"/>
      <c r="S46" s="37"/>
      <c r="U46" s="37"/>
      <c r="W46" s="37"/>
    </row>
    <row r="47" spans="3:23" ht="15">
      <c r="C47" s="11"/>
      <c r="K47" s="25"/>
      <c r="M47" s="25"/>
      <c r="P47" s="37"/>
      <c r="R47" s="37"/>
      <c r="S47" s="37"/>
      <c r="U47" s="37"/>
      <c r="W47" s="37"/>
    </row>
    <row r="48" spans="3:23" ht="15">
      <c r="C48" s="11"/>
      <c r="K48" s="25"/>
      <c r="M48" s="25"/>
      <c r="P48" s="37"/>
      <c r="R48" s="37"/>
      <c r="S48" s="37"/>
      <c r="U48" s="37"/>
      <c r="W48" s="37"/>
    </row>
    <row r="49" spans="3:23" ht="15">
      <c r="C49" s="11"/>
      <c r="K49" s="25"/>
      <c r="M49" s="25"/>
      <c r="P49" s="37"/>
      <c r="R49" s="37"/>
      <c r="S49" s="37"/>
      <c r="U49" s="37"/>
      <c r="W49" s="37"/>
    </row>
  </sheetData>
  <sheetProtection/>
  <mergeCells count="12">
    <mergeCell ref="A8:A9"/>
    <mergeCell ref="C8:C9"/>
    <mergeCell ref="Q6:Q9"/>
    <mergeCell ref="S4:S9"/>
    <mergeCell ref="K4:K9"/>
    <mergeCell ref="M4:M9"/>
    <mergeCell ref="U5:U9"/>
    <mergeCell ref="W5:W9"/>
    <mergeCell ref="E6:E9"/>
    <mergeCell ref="G6:G9"/>
    <mergeCell ref="I6:I9"/>
    <mergeCell ref="O6:O9"/>
  </mergeCells>
  <printOptions/>
  <pageMargins left="0.45" right="0.45" top="0.75" bottom="0.75" header="0.3" footer="0.3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1" sqref="A1:N39"/>
    </sheetView>
  </sheetViews>
  <sheetFormatPr defaultColWidth="9.140625" defaultRowHeight="15"/>
  <cols>
    <col min="1" max="1" width="5.140625" style="0" customWidth="1"/>
    <col min="2" max="2" width="2.28125" style="0" customWidth="1"/>
    <col min="4" max="4" width="2.421875" style="0" customWidth="1"/>
    <col min="5" max="5" width="11.7109375" style="0" customWidth="1"/>
    <col min="6" max="6" width="2.8515625" style="0" customWidth="1"/>
    <col min="7" max="7" width="11.00390625" style="0" bestFit="1" customWidth="1"/>
    <col min="8" max="8" width="2.28125" style="0" customWidth="1"/>
    <col min="9" max="9" width="11.57421875" style="37" customWidth="1"/>
    <col min="10" max="10" width="2.00390625" style="0" customWidth="1"/>
    <col min="11" max="11" width="11.00390625" style="14" customWidth="1"/>
    <col min="12" max="12" width="2.57421875" style="0" customWidth="1"/>
    <col min="13" max="13" width="10.8515625" style="37" customWidth="1"/>
    <col min="14" max="14" width="3.00390625" style="0" customWidth="1"/>
    <col min="15" max="15" width="2.7109375" style="0" customWidth="1"/>
    <col min="16" max="16" width="5.00390625" style="0" customWidth="1"/>
    <col min="17" max="17" width="2.57421875" style="0" customWidth="1"/>
    <col min="18" max="18" width="6.00390625" style="0" customWidth="1"/>
    <col min="20" max="20" width="12.00390625" style="37" bestFit="1" customWidth="1"/>
  </cols>
  <sheetData>
    <row r="1" ht="23.25">
      <c r="A1" s="2" t="s">
        <v>0</v>
      </c>
    </row>
    <row r="2" ht="15">
      <c r="A2" t="s">
        <v>137</v>
      </c>
    </row>
    <row r="3" spans="1:12" ht="14.25" customHeight="1">
      <c r="A3" s="1" t="s">
        <v>30</v>
      </c>
      <c r="L3" s="104"/>
    </row>
    <row r="4" spans="1:21" s="105" customFormat="1" ht="13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17"/>
      <c r="N4" s="106"/>
      <c r="O4" s="106"/>
      <c r="P4" s="106"/>
      <c r="Q4" s="106"/>
      <c r="R4" s="106"/>
      <c r="S4" s="106"/>
      <c r="T4" s="117"/>
      <c r="U4" s="106"/>
    </row>
    <row r="5" spans="1:13" ht="15">
      <c r="A5" s="4"/>
      <c r="B5" s="4"/>
      <c r="C5" s="4"/>
      <c r="D5" s="4"/>
      <c r="E5" s="107"/>
      <c r="F5" s="17"/>
      <c r="G5" s="108"/>
      <c r="H5" s="17"/>
      <c r="I5" s="53"/>
      <c r="J5" s="19"/>
      <c r="K5" s="102"/>
      <c r="L5" s="5"/>
      <c r="M5" s="53"/>
    </row>
    <row r="6" spans="2:13" ht="15" customHeight="1">
      <c r="B6" s="4"/>
      <c r="D6" s="4"/>
      <c r="E6" s="107"/>
      <c r="F6" s="17"/>
      <c r="G6" s="108"/>
      <c r="H6" s="17"/>
      <c r="I6" s="53"/>
      <c r="J6" s="19"/>
      <c r="K6" s="102"/>
      <c r="L6" s="5"/>
      <c r="M6" s="53"/>
    </row>
    <row r="7" spans="1:13" ht="76.5" customHeight="1" thickBot="1">
      <c r="A7" s="8" t="s">
        <v>12</v>
      </c>
      <c r="B7" s="85"/>
      <c r="C7" s="8" t="s">
        <v>3</v>
      </c>
      <c r="D7" s="85"/>
      <c r="E7" s="24" t="s">
        <v>31</v>
      </c>
      <c r="F7" s="18"/>
      <c r="G7" s="18" t="s">
        <v>32</v>
      </c>
      <c r="H7" s="18"/>
      <c r="I7" s="40" t="s">
        <v>33</v>
      </c>
      <c r="J7" s="20"/>
      <c r="K7" s="20" t="s">
        <v>34</v>
      </c>
      <c r="L7" s="9"/>
      <c r="M7" s="40" t="s">
        <v>35</v>
      </c>
    </row>
    <row r="8" spans="1:13" ht="15">
      <c r="A8" s="55"/>
      <c r="B8" s="55"/>
      <c r="C8" s="55"/>
      <c r="D8" s="55"/>
      <c r="E8" s="55"/>
      <c r="F8" s="55"/>
      <c r="G8" s="55"/>
      <c r="H8" s="55"/>
      <c r="I8" s="41"/>
      <c r="J8" s="55"/>
      <c r="K8" s="68"/>
      <c r="L8" s="55"/>
      <c r="M8" s="41"/>
    </row>
    <row r="9" spans="1:14" ht="15">
      <c r="A9" s="55">
        <v>1</v>
      </c>
      <c r="B9" s="55"/>
      <c r="C9" s="55">
        <v>2019</v>
      </c>
      <c r="D9" s="55"/>
      <c r="E9" s="58">
        <f>SUM(96*80*1300)</f>
        <v>9984000</v>
      </c>
      <c r="F9" s="55"/>
      <c r="G9" s="55">
        <f>SUM(E9/1000000*0.63)</f>
        <v>6.28992</v>
      </c>
      <c r="H9" s="55"/>
      <c r="I9" s="41">
        <f>SUM(G9*91112)</f>
        <v>573087.1910400001</v>
      </c>
      <c r="J9" s="55"/>
      <c r="K9" s="68">
        <f>SUM(I9/(1.07)^1)</f>
        <v>535595.5056448599</v>
      </c>
      <c r="L9" s="55"/>
      <c r="M9" s="41">
        <f>SUM(I9/(1.03)^A9)</f>
        <v>556395.3311067962</v>
      </c>
      <c r="N9" s="55"/>
    </row>
    <row r="10" spans="1:14" ht="15">
      <c r="A10" s="55">
        <v>2</v>
      </c>
      <c r="B10" s="55"/>
      <c r="C10" s="55">
        <v>2020</v>
      </c>
      <c r="D10" s="55"/>
      <c r="E10" s="58">
        <f>SUM(96*80*1300)</f>
        <v>9984000</v>
      </c>
      <c r="F10" s="55"/>
      <c r="G10" s="55">
        <f aca="true" t="shared" si="0" ref="G10:G28">SUM(E10/1000000*0.63)</f>
        <v>6.28992</v>
      </c>
      <c r="H10" s="55"/>
      <c r="I10" s="41">
        <f aca="true" t="shared" si="1" ref="I10:I28">SUM(G10*91112)</f>
        <v>573087.1910400001</v>
      </c>
      <c r="J10" s="55"/>
      <c r="K10" s="68">
        <f>SUM(I10/(1.07)^2)</f>
        <v>500556.54733164475</v>
      </c>
      <c r="L10" s="55"/>
      <c r="M10" s="41">
        <f>SUM(I10/(1.03)^A10)</f>
        <v>540189.6418512585</v>
      </c>
      <c r="N10" s="55"/>
    </row>
    <row r="11" spans="1:14" ht="15">
      <c r="A11" s="55">
        <v>3</v>
      </c>
      <c r="B11" s="55"/>
      <c r="C11" s="55">
        <v>2021</v>
      </c>
      <c r="D11" s="55"/>
      <c r="E11" s="58">
        <f>SUM(96*80*1300)</f>
        <v>9984000</v>
      </c>
      <c r="F11" s="55"/>
      <c r="G11" s="55">
        <f t="shared" si="0"/>
        <v>6.28992</v>
      </c>
      <c r="H11" s="55"/>
      <c r="I11" s="41">
        <f t="shared" si="1"/>
        <v>573087.1910400001</v>
      </c>
      <c r="J11" s="55"/>
      <c r="K11" s="68">
        <f>SUM(I11/(1.07)^3)</f>
        <v>467809.8573192941</v>
      </c>
      <c r="L11" s="55"/>
      <c r="M11" s="41">
        <f aca="true" t="shared" si="2" ref="M11:M28">SUM(I11/(1.03)^A11)</f>
        <v>524455.9629623868</v>
      </c>
      <c r="N11" s="55"/>
    </row>
    <row r="12" spans="1:14" ht="15">
      <c r="A12" s="55">
        <v>4</v>
      </c>
      <c r="B12" s="55"/>
      <c r="C12" s="55">
        <v>2022</v>
      </c>
      <c r="D12" s="55"/>
      <c r="E12" s="58">
        <f>SUM(96*80*1300)</f>
        <v>9984000</v>
      </c>
      <c r="F12" s="55"/>
      <c r="G12" s="55">
        <f t="shared" si="0"/>
        <v>6.28992</v>
      </c>
      <c r="H12" s="55"/>
      <c r="I12" s="41">
        <f t="shared" si="1"/>
        <v>573087.1910400001</v>
      </c>
      <c r="J12" s="55"/>
      <c r="K12" s="68">
        <f>SUM(I12/(1.07)^4)</f>
        <v>437205.4741301814</v>
      </c>
      <c r="L12" s="55"/>
      <c r="M12" s="41">
        <f t="shared" si="2"/>
        <v>509180.5465654241</v>
      </c>
      <c r="N12" s="55"/>
    </row>
    <row r="13" spans="1:14" ht="15">
      <c r="A13" s="55">
        <v>5</v>
      </c>
      <c r="B13" s="55"/>
      <c r="C13" s="55">
        <v>2023</v>
      </c>
      <c r="D13" s="55"/>
      <c r="E13" s="58">
        <f>SUM(192*80*1300)</f>
        <v>19968000</v>
      </c>
      <c r="F13" s="55"/>
      <c r="G13" s="55">
        <f t="shared" si="0"/>
        <v>12.57984</v>
      </c>
      <c r="H13" s="55"/>
      <c r="I13" s="41">
        <f t="shared" si="1"/>
        <v>1146174.3820800001</v>
      </c>
      <c r="J13" s="55"/>
      <c r="K13" s="68">
        <f>SUM(I13/(1.07)^A13)</f>
        <v>817206.4937012737</v>
      </c>
      <c r="L13" s="55"/>
      <c r="M13" s="41">
        <f t="shared" si="2"/>
        <v>988700.0904182993</v>
      </c>
      <c r="N13" s="55"/>
    </row>
    <row r="14" spans="1:14" ht="15">
      <c r="A14" s="55">
        <v>6</v>
      </c>
      <c r="B14" s="55"/>
      <c r="C14" s="55">
        <v>2024</v>
      </c>
      <c r="D14" s="55"/>
      <c r="E14" s="58">
        <f>SUM(192*80*1300)</f>
        <v>19968000</v>
      </c>
      <c r="F14" s="55"/>
      <c r="G14" s="55">
        <f t="shared" si="0"/>
        <v>12.57984</v>
      </c>
      <c r="H14" s="55"/>
      <c r="I14" s="41">
        <f t="shared" si="1"/>
        <v>1146174.3820800001</v>
      </c>
      <c r="J14" s="55"/>
      <c r="K14" s="68">
        <f>SUM(I14/(1.07)^A14)</f>
        <v>763744.3866367044</v>
      </c>
      <c r="L14" s="55"/>
      <c r="M14" s="41">
        <f t="shared" si="2"/>
        <v>959903.0004061158</v>
      </c>
      <c r="N14" s="55"/>
    </row>
    <row r="15" spans="1:14" ht="15">
      <c r="A15" s="55">
        <v>7</v>
      </c>
      <c r="B15" s="55"/>
      <c r="C15" s="55">
        <v>2025</v>
      </c>
      <c r="D15" s="55"/>
      <c r="E15" s="58">
        <f>SUM(192*80*1300)</f>
        <v>19968000</v>
      </c>
      <c r="F15" s="55"/>
      <c r="G15" s="55">
        <f t="shared" si="0"/>
        <v>12.57984</v>
      </c>
      <c r="H15" s="55"/>
      <c r="I15" s="41">
        <f t="shared" si="1"/>
        <v>1146174.3820800001</v>
      </c>
      <c r="J15" s="55"/>
      <c r="K15" s="68">
        <f>SUM(I15/(1.07)^A15)</f>
        <v>713779.8005950508</v>
      </c>
      <c r="L15" s="55"/>
      <c r="M15" s="41">
        <f t="shared" si="2"/>
        <v>931944.6605884619</v>
      </c>
      <c r="N15" s="55"/>
    </row>
    <row r="16" spans="1:14" ht="15">
      <c r="A16" s="55">
        <v>8</v>
      </c>
      <c r="B16" s="55"/>
      <c r="C16" s="55">
        <v>2026</v>
      </c>
      <c r="D16" s="55"/>
      <c r="E16" s="58">
        <f>SUM(200*80*1300)</f>
        <v>20800000</v>
      </c>
      <c r="F16" s="55"/>
      <c r="G16" s="55">
        <f>SUM(E16/1000000*0.63)</f>
        <v>13.104000000000001</v>
      </c>
      <c r="H16" s="55"/>
      <c r="I16" s="41">
        <f t="shared" si="1"/>
        <v>1193931.648</v>
      </c>
      <c r="J16" s="55"/>
      <c r="K16" s="68">
        <f aca="true" t="shared" si="3" ref="K16:K28">SUM(I16/(1.07)^A16)</f>
        <v>694879.0893643406</v>
      </c>
      <c r="L16" s="55"/>
      <c r="M16" s="41">
        <f t="shared" si="2"/>
        <v>942500.6680708556</v>
      </c>
      <c r="N16" s="55"/>
    </row>
    <row r="17" spans="1:14" ht="15">
      <c r="A17" s="55">
        <v>9</v>
      </c>
      <c r="B17" s="55"/>
      <c r="C17" s="55">
        <v>2027</v>
      </c>
      <c r="D17" s="55"/>
      <c r="E17" s="58">
        <f>SUM(200*80*1300)</f>
        <v>20800000</v>
      </c>
      <c r="F17" s="55"/>
      <c r="G17" s="55">
        <f t="shared" si="0"/>
        <v>13.104000000000001</v>
      </c>
      <c r="H17" s="55"/>
      <c r="I17" s="41">
        <f t="shared" si="1"/>
        <v>1193931.648</v>
      </c>
      <c r="J17" s="55"/>
      <c r="K17" s="68">
        <f t="shared" si="3"/>
        <v>649419.7096862997</v>
      </c>
      <c r="L17" s="55"/>
      <c r="M17" s="41">
        <f t="shared" si="2"/>
        <v>915049.1923018014</v>
      </c>
      <c r="N17" s="55"/>
    </row>
    <row r="18" spans="1:14" ht="15">
      <c r="A18" s="55">
        <v>10</v>
      </c>
      <c r="B18" s="55"/>
      <c r="C18" s="55">
        <v>2028</v>
      </c>
      <c r="D18" s="55"/>
      <c r="E18" s="58">
        <f>SUM(200*80*1300)</f>
        <v>20800000</v>
      </c>
      <c r="F18" s="55"/>
      <c r="G18" s="55">
        <f t="shared" si="0"/>
        <v>13.104000000000001</v>
      </c>
      <c r="H18" s="55"/>
      <c r="I18" s="41">
        <f t="shared" si="1"/>
        <v>1193931.648</v>
      </c>
      <c r="J18" s="55"/>
      <c r="K18" s="68">
        <f t="shared" si="3"/>
        <v>606934.3081180371</v>
      </c>
      <c r="L18" s="55"/>
      <c r="M18" s="41">
        <f t="shared" si="2"/>
        <v>888397.2740794189</v>
      </c>
      <c r="N18" s="55"/>
    </row>
    <row r="19" spans="1:14" ht="15">
      <c r="A19" s="55">
        <v>11</v>
      </c>
      <c r="B19" s="55"/>
      <c r="C19" s="55">
        <v>2029</v>
      </c>
      <c r="D19" s="55"/>
      <c r="E19" s="58">
        <f>SUM(216*80*1300)</f>
        <v>22464000</v>
      </c>
      <c r="F19" s="55"/>
      <c r="G19" s="55">
        <f t="shared" si="0"/>
        <v>14.15232</v>
      </c>
      <c r="H19" s="55"/>
      <c r="I19" s="41">
        <f t="shared" si="1"/>
        <v>1289446.1798399999</v>
      </c>
      <c r="J19" s="55"/>
      <c r="K19" s="68">
        <f t="shared" si="3"/>
        <v>612606.5913714765</v>
      </c>
      <c r="L19" s="55"/>
      <c r="M19" s="41">
        <f t="shared" si="2"/>
        <v>931523.35534541</v>
      </c>
      <c r="N19" s="55"/>
    </row>
    <row r="20" spans="1:14" ht="15">
      <c r="A20" s="55">
        <v>12</v>
      </c>
      <c r="B20" s="55"/>
      <c r="C20" s="55">
        <v>2030</v>
      </c>
      <c r="D20" s="55"/>
      <c r="E20" s="58">
        <f>SUM(216*80*1300)</f>
        <v>22464000</v>
      </c>
      <c r="F20" s="55"/>
      <c r="G20" s="55">
        <f t="shared" si="0"/>
        <v>14.15232</v>
      </c>
      <c r="H20" s="55"/>
      <c r="I20" s="41">
        <f t="shared" si="1"/>
        <v>1289446.1798399999</v>
      </c>
      <c r="J20" s="55"/>
      <c r="K20" s="68">
        <f>SUM(I20/(1.07)^A20)</f>
        <v>572529.5246462398</v>
      </c>
      <c r="L20" s="55"/>
      <c r="M20" s="41">
        <f t="shared" si="2"/>
        <v>904391.6071314662</v>
      </c>
      <c r="N20" s="55"/>
    </row>
    <row r="21" spans="1:14" ht="15">
      <c r="A21" s="55">
        <v>13</v>
      </c>
      <c r="B21" s="55"/>
      <c r="C21" s="55">
        <v>2031</v>
      </c>
      <c r="D21" s="55"/>
      <c r="E21" s="58">
        <f>SUM(216*80*1300)</f>
        <v>22464000</v>
      </c>
      <c r="F21" s="55"/>
      <c r="G21" s="55">
        <f t="shared" si="0"/>
        <v>14.15232</v>
      </c>
      <c r="H21" s="55"/>
      <c r="I21" s="41">
        <f t="shared" si="1"/>
        <v>1289446.1798399999</v>
      </c>
      <c r="J21" s="55"/>
      <c r="K21" s="68">
        <f t="shared" si="3"/>
        <v>535074.3220992895</v>
      </c>
      <c r="L21" s="55"/>
      <c r="M21" s="41">
        <f t="shared" si="2"/>
        <v>878050.1040111321</v>
      </c>
      <c r="N21" s="55"/>
    </row>
    <row r="22" spans="1:14" ht="15">
      <c r="A22" s="55">
        <v>14</v>
      </c>
      <c r="B22" s="55"/>
      <c r="C22" s="55">
        <v>2032</v>
      </c>
      <c r="D22" s="55"/>
      <c r="E22" s="58">
        <f>SUM(216*80*1300)</f>
        <v>22464000</v>
      </c>
      <c r="F22" s="55"/>
      <c r="G22" s="55">
        <f t="shared" si="0"/>
        <v>14.15232</v>
      </c>
      <c r="H22" s="55"/>
      <c r="I22" s="41">
        <f t="shared" si="1"/>
        <v>1289446.1798399999</v>
      </c>
      <c r="J22" s="55"/>
      <c r="K22" s="68">
        <f t="shared" si="3"/>
        <v>500069.4599058781</v>
      </c>
      <c r="L22" s="55"/>
      <c r="M22" s="41">
        <f t="shared" si="2"/>
        <v>852475.8291370214</v>
      </c>
      <c r="N22" s="55"/>
    </row>
    <row r="23" spans="1:14" ht="15">
      <c r="A23" s="55">
        <v>15</v>
      </c>
      <c r="B23" s="55"/>
      <c r="C23" s="55">
        <v>2033</v>
      </c>
      <c r="D23" s="55"/>
      <c r="E23" s="58">
        <f>SUM(224*80*1300)</f>
        <v>23296000</v>
      </c>
      <c r="F23" s="55"/>
      <c r="G23" s="55">
        <f t="shared" si="0"/>
        <v>14.67648</v>
      </c>
      <c r="H23" s="55"/>
      <c r="I23" s="41">
        <f t="shared" si="1"/>
        <v>1337203.44576</v>
      </c>
      <c r="J23" s="55"/>
      <c r="K23" s="68">
        <f t="shared" si="3"/>
        <v>484664.06636776</v>
      </c>
      <c r="L23" s="55"/>
      <c r="M23" s="41">
        <f t="shared" si="2"/>
        <v>858300.0077611147</v>
      </c>
      <c r="N23" s="55"/>
    </row>
    <row r="24" spans="1:14" ht="15">
      <c r="A24" s="55">
        <v>16</v>
      </c>
      <c r="B24" s="55"/>
      <c r="C24" s="55">
        <v>2034</v>
      </c>
      <c r="D24" s="55"/>
      <c r="E24" s="58">
        <f>SUM(224*80*1300)</f>
        <v>23296000</v>
      </c>
      <c r="F24" s="55"/>
      <c r="G24" s="55">
        <f t="shared" si="0"/>
        <v>14.67648</v>
      </c>
      <c r="H24" s="55"/>
      <c r="I24" s="41">
        <f t="shared" si="1"/>
        <v>1337203.44576</v>
      </c>
      <c r="J24" s="55"/>
      <c r="K24" s="68">
        <f t="shared" si="3"/>
        <v>452957.0713717384</v>
      </c>
      <c r="L24" s="55"/>
      <c r="M24" s="41">
        <f t="shared" si="2"/>
        <v>833300.9784088494</v>
      </c>
      <c r="N24" s="55"/>
    </row>
    <row r="25" spans="1:14" ht="15">
      <c r="A25" s="55">
        <v>17</v>
      </c>
      <c r="B25" s="55"/>
      <c r="C25" s="55">
        <v>2035</v>
      </c>
      <c r="D25" s="55"/>
      <c r="E25" s="58">
        <f>SUM(224*80*1300)</f>
        <v>23296000</v>
      </c>
      <c r="F25" s="55"/>
      <c r="G25" s="55">
        <f t="shared" si="0"/>
        <v>14.67648</v>
      </c>
      <c r="H25" s="55"/>
      <c r="I25" s="41">
        <f t="shared" si="1"/>
        <v>1337203.44576</v>
      </c>
      <c r="J25" s="55"/>
      <c r="K25" s="68">
        <f t="shared" si="3"/>
        <v>423324.3657679798</v>
      </c>
      <c r="L25" s="55"/>
      <c r="M25" s="41">
        <f t="shared" si="2"/>
        <v>809030.0761250965</v>
      </c>
      <c r="N25" s="55"/>
    </row>
    <row r="26" spans="1:14" ht="15">
      <c r="A26" s="55">
        <v>18</v>
      </c>
      <c r="B26" s="55"/>
      <c r="C26" s="55">
        <v>2036</v>
      </c>
      <c r="D26" s="55"/>
      <c r="E26" s="58">
        <f>SUM(231*80*1300)</f>
        <v>24024000</v>
      </c>
      <c r="F26" s="55"/>
      <c r="G26" s="55">
        <f t="shared" si="0"/>
        <v>15.13512</v>
      </c>
      <c r="H26" s="55"/>
      <c r="I26" s="41">
        <f t="shared" si="1"/>
        <v>1378991.0534400002</v>
      </c>
      <c r="J26" s="55"/>
      <c r="K26" s="68">
        <f t="shared" si="3"/>
        <v>407993.69364320487</v>
      </c>
      <c r="L26" s="55"/>
      <c r="M26" s="41">
        <f t="shared" si="2"/>
        <v>810011.9087417533</v>
      </c>
      <c r="N26" s="55"/>
    </row>
    <row r="27" spans="1:14" ht="15">
      <c r="A27" s="55">
        <v>19</v>
      </c>
      <c r="B27" s="55"/>
      <c r="C27" s="55">
        <v>2037</v>
      </c>
      <c r="D27" s="55"/>
      <c r="E27" s="58">
        <f>SUM(231*80*1300)</f>
        <v>24024000</v>
      </c>
      <c r="F27" s="55"/>
      <c r="G27" s="55">
        <f t="shared" si="0"/>
        <v>15.13512</v>
      </c>
      <c r="H27" s="55"/>
      <c r="I27" s="41">
        <f t="shared" si="1"/>
        <v>1378991.0534400002</v>
      </c>
      <c r="J27" s="55"/>
      <c r="K27" s="68">
        <f t="shared" si="3"/>
        <v>381302.5174235559</v>
      </c>
      <c r="L27" s="55"/>
      <c r="M27" s="41">
        <f t="shared" si="2"/>
        <v>786419.3288754886</v>
      </c>
      <c r="N27" s="55"/>
    </row>
    <row r="28" spans="1:14" ht="15">
      <c r="A28" s="55">
        <v>20</v>
      </c>
      <c r="B28" s="55"/>
      <c r="C28" s="55">
        <v>2038</v>
      </c>
      <c r="D28" s="55"/>
      <c r="E28" s="66">
        <f>SUM(231*80*1300)</f>
        <v>24024000</v>
      </c>
      <c r="F28" s="63"/>
      <c r="G28" s="63">
        <f t="shared" si="0"/>
        <v>15.13512</v>
      </c>
      <c r="H28" s="63"/>
      <c r="I28" s="42">
        <f t="shared" si="1"/>
        <v>1378991.0534400002</v>
      </c>
      <c r="J28" s="63"/>
      <c r="K28" s="69">
        <f t="shared" si="3"/>
        <v>356357.49291921116</v>
      </c>
      <c r="L28" s="63"/>
      <c r="M28" s="42">
        <f t="shared" si="2"/>
        <v>763513.9115296006</v>
      </c>
      <c r="N28" s="55"/>
    </row>
    <row r="29" spans="1:14" ht="15">
      <c r="A29" s="55"/>
      <c r="B29" s="55"/>
      <c r="C29" s="55"/>
      <c r="D29" s="55"/>
      <c r="E29" s="55"/>
      <c r="F29" s="55"/>
      <c r="G29" s="55"/>
      <c r="H29" s="55"/>
      <c r="I29" s="41"/>
      <c r="J29" s="55"/>
      <c r="K29" s="68"/>
      <c r="L29" s="55"/>
      <c r="M29" s="41"/>
      <c r="N29" s="55"/>
    </row>
    <row r="30" spans="1:14" ht="15.75" thickBot="1">
      <c r="A30" s="55"/>
      <c r="B30" s="55"/>
      <c r="C30" s="55"/>
      <c r="D30" s="55"/>
      <c r="E30" s="55"/>
      <c r="F30" s="55"/>
      <c r="G30" s="55"/>
      <c r="H30" s="70"/>
      <c r="I30" s="71">
        <f>SUM(I9:I28)</f>
        <v>22619035.071360007</v>
      </c>
      <c r="J30" s="71"/>
      <c r="K30" s="71">
        <f>SUM(K9:K28)</f>
        <v>10914010.27804402</v>
      </c>
      <c r="L30" s="71"/>
      <c r="M30" s="71">
        <f>SUM(M9:M28)</f>
        <v>16183733.475417752</v>
      </c>
      <c r="N30" s="70"/>
    </row>
    <row r="31" ht="15.75" thickTop="1"/>
    <row r="33" ht="15">
      <c r="B33" s="43" t="s">
        <v>25</v>
      </c>
    </row>
    <row r="34" spans="2:14" ht="15">
      <c r="B34" s="77" t="s">
        <v>36</v>
      </c>
      <c r="C34" s="3"/>
      <c r="D34" s="3"/>
      <c r="E34" s="3"/>
      <c r="F34" s="3"/>
      <c r="G34" s="3"/>
      <c r="H34" s="3"/>
      <c r="I34" s="59"/>
      <c r="J34" s="3"/>
      <c r="K34" s="13"/>
      <c r="L34" s="3"/>
      <c r="M34" s="59"/>
      <c r="N34" s="3"/>
    </row>
    <row r="35" spans="2:14" ht="36.75" customHeight="1">
      <c r="B35" s="3"/>
      <c r="C35" s="189" t="s">
        <v>37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2:14" ht="12.75" customHeight="1">
      <c r="B36" s="170" t="s">
        <v>107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2:14" ht="13.5" customHeight="1">
      <c r="B37" s="170" t="s">
        <v>139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2:14" ht="15">
      <c r="B38" s="77" t="s">
        <v>9</v>
      </c>
      <c r="C38" s="3"/>
      <c r="D38" s="3"/>
      <c r="E38" s="3"/>
      <c r="F38" s="3"/>
      <c r="G38" s="3"/>
      <c r="H38" s="3"/>
      <c r="I38" s="59"/>
      <c r="J38" s="3"/>
      <c r="K38" s="13"/>
      <c r="L38" s="3"/>
      <c r="M38" s="59"/>
      <c r="N38" s="3"/>
    </row>
    <row r="39" spans="2:14" ht="16.5" customHeight="1">
      <c r="B39" s="170" t="s">
        <v>38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</sheetData>
  <sheetProtection/>
  <mergeCells count="4">
    <mergeCell ref="B36:N36"/>
    <mergeCell ref="B37:N37"/>
    <mergeCell ref="C35:N35"/>
    <mergeCell ref="B39:N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Owner</cp:lastModifiedBy>
  <cp:lastPrinted>2018-07-19T06:03:02Z</cp:lastPrinted>
  <dcterms:created xsi:type="dcterms:W3CDTF">2014-04-28T06:35:22Z</dcterms:created>
  <dcterms:modified xsi:type="dcterms:W3CDTF">2018-07-19T07:11:05Z</dcterms:modified>
  <cp:category/>
  <cp:version/>
  <cp:contentType/>
  <cp:contentStatus/>
</cp:coreProperties>
</file>